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ODT01Xl+BnbooiT3nECiXOsmUO8c4ml9g3kaQUq2Dwu3syJ02/m94A2Hdj/j2O2vRrCGQ1Fh/NyeaYIbJ5SV4Q==" workbookSaltValue="m7D+/S5zQHjaf87/q464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<sst xmlns="http://schemas.openxmlformats.org/spreadsheetml/2006/main" count="2682" uniqueCount="1193">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</sst>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oeXn1VbvOXLtF8/KLosP82tqpa0eBQifUDCKmLqf16nsV3eEXRGvoSi1suNvlp3jSi0A8CIx8agIh/Zd6jYDA==" saltValue="lc27hIZesDeWEGXS2gtH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9</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10.03195067264574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9</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553</v>
      </c>
      <c r="D17" s="239">
        <f>IF(ISNUMBER(IF(D_I="SI",Datos!I17,Datos!I17+Datos!AC17)),IF(D_I="SI",Datos!I17,Datos!I17+Datos!AC17)," - ")</f>
        <v>633</v>
      </c>
      <c r="E17" s="240">
        <f>IF(ISNUMBER(IF(D_I="SI",Datos!J17,Datos!J17+Datos!AD17)),IF(D_I="SI",Datos!J17,Datos!J17+Datos!AD17)," - ")</f>
        <v>2648</v>
      </c>
      <c r="F17" s="240">
        <f>IF(ISNUMBER(IF(D_I="SI",Datos!K17,Datos!K17+Datos!AE17)),IF(D_I="SI",Datos!K17,Datos!K17+Datos!AE17)," - ")</f>
        <v>2614</v>
      </c>
      <c r="G17" s="1390" t="str">
        <f>IF(Datos!E17&lt;&gt;"",Datos!E17,Datos!D17)</f>
        <v>04</v>
      </c>
      <c r="H17" s="241">
        <f>IF(ISNUMBER(IF(D_I="SI",Datos!L17,Datos!L17+Datos!AF17)),IF(D_I="SI",Datos!L17,Datos!L17+Datos!AF17)," - ")</f>
        <v>587</v>
      </c>
      <c r="I17" s="1400" t="str">
        <f>IF(ISNUMBER(Datos!AS17/Datos!BM17),Datos!AS17/Datos!BM17," - ")</f>
        <v xml:space="preserve"> - </v>
      </c>
      <c r="J17" s="1401">
        <f>IF(ISNUMBER(Datos!BY17/Datos!CN17),Datos!BY17/Datos!CN17," - ")</f>
        <v>0</v>
      </c>
      <c r="K17" s="244">
        <f t="shared" si="3"/>
        <v>6.148282097649186E-2</v>
      </c>
      <c r="L17" s="1402">
        <f>IF(ISNUMBER(NºAsuntos!I17/NºAsuntos!G17),(NºAsuntos!I17/NºAsuntos!G17)*11," - ")</f>
        <v>2.4701606732976282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7</v>
      </c>
      <c r="E18" s="240">
        <f>IF(ISNUMBER(IF(D_I="SI",Datos!J18,Datos!J18+Datos!AD18)),IF(D_I="SI",Datos!J18,Datos!J18+Datos!AD18)," - ")</f>
        <v>201</v>
      </c>
      <c r="F18" s="240">
        <f>IF(ISNUMBER(IF(D_I="SI",Datos!K18,Datos!K18+Datos!AE18)),IF(D_I="SI",Datos!K18,Datos!K18+Datos!AE18)," - ")</f>
        <v>187</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1.2727272727272727</v>
      </c>
      <c r="L18" s="1402">
        <f>IF(ISNUMBER(NºAsuntos!I18/NºAsuntos!G18),(NºAsuntos!I18/NºAsuntos!G18)*11," - ")</f>
        <v>1.4705882352941178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564</v>
      </c>
      <c r="D23" s="1407">
        <f>SUBTOTAL(9,D16:D22)</f>
        <v>640</v>
      </c>
      <c r="E23" s="1408">
        <f>SUBTOTAL(9,E16:E22)</f>
        <v>2849</v>
      </c>
      <c r="F23" s="1408">
        <f>SUBTOTAL(9,F16:F22)</f>
        <v>2801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564</v>
      </c>
      <c r="D31" s="1435">
        <f>SUBTOTAL(9,D9:D30)</f>
        <v>640</v>
      </c>
      <c r="E31" s="1436">
        <f>SUBTOTAL(9,E9:E30)</f>
        <v>2858</v>
      </c>
      <c r="F31" s="1436">
        <f>SUBTOTAL(9,F9:F30)</f>
        <v>2803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SewHMtrBEqtZMdtjAIKzxGTzDEujQxKgcnptbPrcmCoUwp8IEb9G6PLX4ndprAZ7uLxD6wWXm4sug+EEcMgOQ==" saltValue="Goqzp9QQJsIdAtb/y7p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3YXw3R70I1Fes49otVnFn5uiFjICdYrEXLYuI/fak71m22wulPxbAIcSFwBROSm/vS6qf2uXxQgWiyP381Eyg==" saltValue="/2ru7cD8QxedRX45iJes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9</v>
      </c>
      <c r="K10" s="194">
        <v>2</v>
      </c>
      <c r="L10" s="194">
        <v>7</v>
      </c>
      <c r="M10" s="194">
        <v>0</v>
      </c>
      <c r="N10" s="194">
        <v>0</v>
      </c>
      <c r="O10" s="194">
        <v>0</v>
      </c>
      <c r="P10" s="194">
        <v>0</v>
      </c>
      <c r="Q10" s="194">
        <v>0</v>
      </c>
      <c r="R10" s="194">
        <v>0</v>
      </c>
      <c r="S10" s="194">
        <v>0</v>
      </c>
      <c r="T10" s="194">
        <v>10</v>
      </c>
      <c r="U10" s="194">
        <v>10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10</v>
      </c>
      <c r="BA10" s="139">
        <f t="shared" si="0"/>
        <v>10</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933</v>
      </c>
      <c r="J12" s="196">
        <v>1873</v>
      </c>
      <c r="K12" s="196">
        <v>1614</v>
      </c>
      <c r="L12" s="196">
        <v>1535</v>
      </c>
      <c r="M12" s="196">
        <v>390</v>
      </c>
      <c r="N12" s="196">
        <v>845</v>
      </c>
      <c r="O12" s="194">
        <v>743</v>
      </c>
      <c r="P12" s="196">
        <v>425</v>
      </c>
      <c r="Q12" s="196">
        <v>263</v>
      </c>
      <c r="R12" s="196">
        <v>2078</v>
      </c>
      <c r="S12" s="196">
        <v>933</v>
      </c>
      <c r="T12" s="196">
        <v>1856</v>
      </c>
      <c r="U12" s="196">
        <v>1856</v>
      </c>
      <c r="V12" s="196">
        <v>933</v>
      </c>
      <c r="W12" s="196">
        <v>450</v>
      </c>
      <c r="X12" s="202">
        <v>840</v>
      </c>
      <c r="Y12" s="204">
        <v>74</v>
      </c>
      <c r="Z12" s="194">
        <v>184</v>
      </c>
      <c r="AA12" s="194">
        <v>170</v>
      </c>
      <c r="AB12" s="194">
        <v>92</v>
      </c>
      <c r="AC12" s="196">
        <v>0</v>
      </c>
      <c r="AD12" s="196">
        <v>0</v>
      </c>
      <c r="AE12" s="196">
        <v>0</v>
      </c>
      <c r="AF12" s="202">
        <v>0</v>
      </c>
      <c r="AG12" s="215">
        <v>54</v>
      </c>
      <c r="AH12" s="196">
        <v>218</v>
      </c>
      <c r="AI12" s="196">
        <v>198</v>
      </c>
      <c r="AJ12" s="216">
        <v>74</v>
      </c>
      <c r="AK12" s="195">
        <v>0</v>
      </c>
      <c r="AL12" s="196">
        <v>0</v>
      </c>
      <c r="AM12" s="196">
        <v>0</v>
      </c>
      <c r="AN12" s="202">
        <v>0</v>
      </c>
      <c r="AO12" s="283">
        <v>3</v>
      </c>
      <c r="AP12" s="168">
        <v>3</v>
      </c>
      <c r="AQ12" s="168">
        <v>3</v>
      </c>
      <c r="AR12" s="167">
        <v>3</v>
      </c>
      <c r="AS12" s="381" t="s">
        <v>1075</v>
      </c>
      <c r="AT12" s="216"/>
      <c r="AU12" s="215"/>
      <c r="AV12" s="216"/>
      <c r="AW12" s="215"/>
      <c r="AX12" s="216"/>
      <c r="AY12" s="136">
        <f t="shared" si="1"/>
        <v>987</v>
      </c>
      <c r="AZ12" s="137">
        <f t="shared" si="1"/>
        <v>2074</v>
      </c>
      <c r="BA12" s="137">
        <f t="shared" si="1"/>
        <v>2054</v>
      </c>
      <c r="BB12" s="137">
        <f t="shared" si="1"/>
        <v>1007</v>
      </c>
      <c r="BC12" s="135">
        <f>IF(ISNUMBER(X12),X12," - ")</f>
        <v>840</v>
      </c>
      <c r="BD12" s="136">
        <f t="shared" si="2"/>
        <v>0.99035679845708779</v>
      </c>
      <c r="BE12" s="137">
        <f t="shared" si="3"/>
        <v>0.49026290165530673</v>
      </c>
      <c r="BF12" s="137">
        <f t="shared" si="4"/>
        <v>0.40895813047711782</v>
      </c>
      <c r="BG12" s="209">
        <f t="shared" si="5"/>
        <v>1.4902629016553066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933</v>
      </c>
      <c r="J14" s="197">
        <f t="shared" si="7"/>
        <v>1882</v>
      </c>
      <c r="K14" s="197">
        <f t="shared" si="7"/>
        <v>1616</v>
      </c>
      <c r="L14" s="197">
        <f t="shared" si="7"/>
        <v>1542</v>
      </c>
      <c r="M14" s="197">
        <f t="shared" si="7"/>
        <v>390</v>
      </c>
      <c r="N14" s="197">
        <f t="shared" si="7"/>
        <v>845</v>
      </c>
      <c r="O14" s="197">
        <f t="shared" si="7"/>
        <v>743</v>
      </c>
      <c r="P14" s="197">
        <f t="shared" si="7"/>
        <v>425</v>
      </c>
      <c r="Q14" s="197">
        <f t="shared" si="7"/>
        <v>263</v>
      </c>
      <c r="R14" s="197">
        <f t="shared" si="7"/>
        <v>2078</v>
      </c>
      <c r="S14" s="197">
        <f t="shared" si="7"/>
        <v>933</v>
      </c>
      <c r="T14" s="197">
        <f t="shared" si="7"/>
        <v>1866</v>
      </c>
      <c r="U14" s="197">
        <f t="shared" si="7"/>
        <v>1866</v>
      </c>
      <c r="V14" s="197">
        <f t="shared" si="7"/>
        <v>933</v>
      </c>
      <c r="W14" s="197">
        <f t="shared" si="7"/>
        <v>450</v>
      </c>
      <c r="X14" s="197">
        <f t="shared" si="7"/>
        <v>840</v>
      </c>
      <c r="Y14" s="197">
        <f t="shared" si="7"/>
        <v>74</v>
      </c>
      <c r="Z14" s="197">
        <f t="shared" si="7"/>
        <v>184</v>
      </c>
      <c r="AA14" s="197">
        <f t="shared" si="7"/>
        <v>170</v>
      </c>
      <c r="AB14" s="197">
        <f t="shared" si="7"/>
        <v>92</v>
      </c>
      <c r="AC14" s="197">
        <f t="shared" si="7"/>
        <v>0</v>
      </c>
      <c r="AD14" s="197">
        <f t="shared" si="7"/>
        <v>0</v>
      </c>
      <c r="AE14" s="197">
        <f t="shared" si="7"/>
        <v>0</v>
      </c>
      <c r="AF14" s="197">
        <f>SUBTOTAL(9,AF9:AF13)</f>
        <v>0</v>
      </c>
      <c r="AG14" s="197">
        <f t="shared" ref="AG14:AT14" si="8">SUBTOTAL(9,AG8:AG13)</f>
        <v>54</v>
      </c>
      <c r="AH14" s="197">
        <f t="shared" si="8"/>
        <v>218</v>
      </c>
      <c r="AI14" s="197">
        <f t="shared" si="8"/>
        <v>198</v>
      </c>
      <c r="AJ14" s="197">
        <f t="shared" si="8"/>
        <v>74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987</v>
      </c>
      <c r="AZ14" s="197">
        <f>SUBTOTAL(9,AZ8:AZ13)</f>
        <v>2084</v>
      </c>
      <c r="BA14" s="197">
        <f>SUBTOTAL(9,BA8:BA13)</f>
        <v>2064</v>
      </c>
      <c r="BB14" s="197">
        <f>SUBTOTAL(9,BB8:BB13)</f>
        <v>1007</v>
      </c>
      <c r="BC14" s="197">
        <f>SUBTOTAL(9,BC8:BC13)</f>
        <v>840</v>
      </c>
      <c r="BD14" s="219">
        <f>IF(ISNUMBER(BA14/AZ14),BA14/AZ14," - ")</f>
        <v>0.99040307101727443</v>
      </c>
      <c r="BE14" s="220">
        <f>IF(ISNUMBER(BB14/BA14),BB14/BA14, " - ")</f>
        <v>0.48788759689922478</v>
      </c>
      <c r="BF14" s="220">
        <f>IF(ISNUMBER(BC14/BA14),BC14/BA14, " - ")</f>
        <v>0.40697674418604651</v>
      </c>
      <c r="BG14" s="221">
        <f>IF(ISNUMBER((AY14+AZ14)/BA14),(AY14+AZ14)/BA14," - ")</f>
        <v>1.4878875968992249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633</v>
      </c>
      <c r="J17" s="196">
        <v>2648</v>
      </c>
      <c r="K17" s="196">
        <v>2614</v>
      </c>
      <c r="L17" s="196">
        <v>587</v>
      </c>
      <c r="M17" s="196">
        <v>301</v>
      </c>
      <c r="N17" s="196">
        <v>1689</v>
      </c>
      <c r="O17" s="194">
        <v>0</v>
      </c>
      <c r="P17" s="196">
        <v>158</v>
      </c>
      <c r="Q17" s="196">
        <v>175</v>
      </c>
      <c r="R17" s="196">
        <v>115</v>
      </c>
      <c r="S17" s="196">
        <v>667</v>
      </c>
      <c r="T17" s="196">
        <v>2578</v>
      </c>
      <c r="U17" s="196">
        <v>2612</v>
      </c>
      <c r="V17" s="196">
        <v>633</v>
      </c>
      <c r="W17" s="196">
        <v>360</v>
      </c>
      <c r="X17" s="202">
        <v>1545</v>
      </c>
      <c r="Y17" s="215">
        <v>0</v>
      </c>
      <c r="Z17" s="196">
        <v>0</v>
      </c>
      <c r="AA17" s="196">
        <v>0</v>
      </c>
      <c r="AB17" s="196">
        <v>0</v>
      </c>
      <c r="AC17" s="196">
        <v>1</v>
      </c>
      <c r="AD17" s="196">
        <v>0</v>
      </c>
      <c r="AE17" s="196">
        <v>1</v>
      </c>
      <c r="AF17" s="202">
        <v>0</v>
      </c>
      <c r="AG17" s="215">
        <v>0</v>
      </c>
      <c r="AH17" s="196">
        <v>0</v>
      </c>
      <c r="AI17" s="196">
        <v>0</v>
      </c>
      <c r="AJ17" s="216">
        <v>0</v>
      </c>
      <c r="AK17" s="195">
        <v>0</v>
      </c>
      <c r="AL17" s="196">
        <v>4</v>
      </c>
      <c r="AM17" s="196">
        <v>3</v>
      </c>
      <c r="AN17" s="202">
        <v>1</v>
      </c>
      <c r="AO17" s="283">
        <v>3</v>
      </c>
      <c r="AP17" s="168">
        <v>3</v>
      </c>
      <c r="AQ17" s="168">
        <v>3</v>
      </c>
      <c r="AR17" s="168">
        <v>3</v>
      </c>
      <c r="AS17" s="381" t="s">
        <v>650</v>
      </c>
      <c r="AT17" s="216"/>
      <c r="AU17" s="215"/>
      <c r="AV17" s="216"/>
      <c r="AW17" s="215"/>
      <c r="AX17" s="216"/>
      <c r="AY17" s="136">
        <f t="shared" si="10"/>
        <v>667</v>
      </c>
      <c r="AZ17" s="137">
        <f t="shared" si="10"/>
        <v>2578</v>
      </c>
      <c r="BA17" s="137">
        <f t="shared" si="10"/>
        <v>2612</v>
      </c>
      <c r="BB17" s="137">
        <f t="shared" si="10"/>
        <v>633</v>
      </c>
      <c r="BC17" s="135">
        <f>IF(ISNUMBER(W17),W17," - ")</f>
        <v>360</v>
      </c>
      <c r="BD17" s="136">
        <f t="shared" ref="BD17:BD22" si="12">IF(ISNUMBER(BA17/AZ17),BA17/AZ17," - ")</f>
        <v>1.0131885182311871</v>
      </c>
      <c r="BE17" s="137">
        <f t="shared" ref="BE17:BE22" si="13">IF(ISNUMBER(BB17/BA17),BB17/BA17, " - ")</f>
        <v>0.24234303215926492</v>
      </c>
      <c r="BF17" s="137">
        <f t="shared" ref="BF17:BF22" si="14">IF(ISNUMBER(BC17/BA17),BC17/BA17, " - ")</f>
        <v>0.13782542113323124</v>
      </c>
      <c r="BG17" s="209">
        <f t="shared" si="11"/>
        <v>1.242343032159265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201</v>
      </c>
      <c r="K18" s="196">
        <v>187</v>
      </c>
      <c r="L18" s="196">
        <v>25</v>
      </c>
      <c r="M18" s="196">
        <v>12</v>
      </c>
      <c r="N18" s="196">
        <v>112</v>
      </c>
      <c r="O18" s="196">
        <v>0</v>
      </c>
      <c r="P18" s="196">
        <v>4</v>
      </c>
      <c r="Q18" s="196">
        <v>27</v>
      </c>
      <c r="R18" s="196">
        <v>3</v>
      </c>
      <c r="S18" s="196">
        <v>4</v>
      </c>
      <c r="T18" s="196">
        <v>208</v>
      </c>
      <c r="U18" s="196">
        <v>205</v>
      </c>
      <c r="V18" s="196">
        <v>7</v>
      </c>
      <c r="W18" s="196">
        <v>17</v>
      </c>
      <c r="X18" s="202">
        <v>183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208</v>
      </c>
      <c r="BA18" s="139">
        <f t="shared" si="15"/>
        <v>205</v>
      </c>
      <c r="BB18" s="139">
        <f t="shared" si="15"/>
        <v>7</v>
      </c>
      <c r="BC18" s="135">
        <f>IF(ISNUMBER(W18),W18," - ")</f>
        <v>17</v>
      </c>
      <c r="BD18" s="136">
        <f>IF(ISNUMBER(BA18/AZ18),BA18/AZ18," - ")</f>
        <v>0.98557692307692313</v>
      </c>
      <c r="BE18" s="137">
        <f>IF(ISNUMBER(BB18/BA18),BB18/BA18, " - ")</f>
        <v>3.4146341463414637E-2</v>
      </c>
      <c r="BF18" s="137">
        <f>IF(ISNUMBER(BC18/BA18),BC18/BA18, " - ")</f>
        <v>8.2926829268292687E-2</v>
      </c>
      <c r="BG18" s="209">
        <f>IF(ISNUMBER((AY18+AZ18)/BA18),(AY18+AZ18)/BA18," - ")</f>
        <v>1.0341463414634147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640</v>
      </c>
      <c r="J23" s="197">
        <f t="shared" si="21"/>
        <v>2849</v>
      </c>
      <c r="K23" s="197">
        <f t="shared" si="21"/>
        <v>2801</v>
      </c>
      <c r="L23" s="197">
        <f t="shared" si="21"/>
        <v>612</v>
      </c>
      <c r="M23" s="197">
        <f t="shared" si="21"/>
        <v>313</v>
      </c>
      <c r="N23" s="197">
        <f t="shared" si="21"/>
        <v>1801</v>
      </c>
      <c r="O23" s="197">
        <f t="shared" si="21"/>
        <v>0</v>
      </c>
      <c r="P23" s="197">
        <f t="shared" si="21"/>
        <v>162</v>
      </c>
      <c r="Q23" s="197">
        <f t="shared" si="21"/>
        <v>202</v>
      </c>
      <c r="R23" s="197">
        <f t="shared" si="21"/>
        <v>118</v>
      </c>
      <c r="S23" s="197">
        <f t="shared" si="21"/>
        <v>671</v>
      </c>
      <c r="T23" s="197">
        <f t="shared" si="21"/>
        <v>2786</v>
      </c>
      <c r="U23" s="197">
        <f t="shared" si="21"/>
        <v>2817</v>
      </c>
      <c r="V23" s="197">
        <f t="shared" si="21"/>
        <v>640</v>
      </c>
      <c r="W23" s="197">
        <f t="shared" si="21"/>
        <v>377</v>
      </c>
      <c r="X23" s="197">
        <f t="shared" si="21"/>
        <v>1728</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671</v>
      </c>
      <c r="AZ23" s="197">
        <f>SUBTOTAL(9,AZ15:AZ22)</f>
        <v>2786</v>
      </c>
      <c r="BA23" s="197">
        <f>SUBTOTAL(9,BA15:BA22)</f>
        <v>2817</v>
      </c>
      <c r="BB23" s="197">
        <f>SUBTOTAL(9,BB15:BB22)</f>
        <v>640</v>
      </c>
      <c r="BC23" s="197">
        <f>SUBTOTAL(9,BC15:BC22)</f>
        <v>377</v>
      </c>
      <c r="BD23" s="219">
        <f>IF(ISNUMBER(BA23/AZ23),BA23/AZ23," - ")</f>
        <v>1.0111270638908829</v>
      </c>
      <c r="BE23" s="220">
        <f>IF(ISNUMBER(BB23/BA23),BB23/BA23, " - ")</f>
        <v>0.22719204827831027</v>
      </c>
      <c r="BF23" s="220">
        <f>IF(ISNUMBER(BC23/BA23),BC23/BA23, " - ")</f>
        <v>0.13383031593894212</v>
      </c>
      <c r="BG23" s="221">
        <f>IF(ISNUMBER((AY23+AZ23)/BA23),(AY23+AZ23)/BA23," - ")</f>
        <v>1.2271920482783103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1573</v>
      </c>
      <c r="J31" s="144">
        <f t="shared" si="36"/>
        <v>4731</v>
      </c>
      <c r="K31" s="144">
        <f t="shared" si="36"/>
        <v>4417</v>
      </c>
      <c r="L31" s="144">
        <f t="shared" si="36"/>
        <v>2154</v>
      </c>
      <c r="M31" s="144">
        <f t="shared" si="36"/>
        <v>703</v>
      </c>
      <c r="N31" s="144">
        <f t="shared" si="36"/>
        <v>2646</v>
      </c>
      <c r="O31" s="144">
        <f t="shared" si="36"/>
        <v>743</v>
      </c>
      <c r="P31" s="144">
        <f t="shared" si="36"/>
        <v>587</v>
      </c>
      <c r="Q31" s="144">
        <f t="shared" si="36"/>
        <v>465</v>
      </c>
      <c r="R31" s="144">
        <f t="shared" si="36"/>
        <v>2196</v>
      </c>
      <c r="S31" s="144">
        <f t="shared" si="36"/>
        <v>1604</v>
      </c>
      <c r="T31" s="144">
        <f t="shared" si="36"/>
        <v>4652</v>
      </c>
      <c r="U31" s="144">
        <f t="shared" si="36"/>
        <v>4683</v>
      </c>
      <c r="V31" s="144">
        <f t="shared" si="36"/>
        <v>1573</v>
      </c>
      <c r="W31" s="144">
        <f t="shared" si="36"/>
        <v>827</v>
      </c>
      <c r="X31" s="144">
        <f t="shared" si="36"/>
        <v>2568</v>
      </c>
      <c r="Y31" s="144">
        <f t="shared" si="36"/>
        <v>74</v>
      </c>
      <c r="Z31" s="144">
        <f t="shared" si="36"/>
        <v>184</v>
      </c>
      <c r="AA31" s="144">
        <f t="shared" si="36"/>
        <v>170</v>
      </c>
      <c r="AB31" s="144">
        <f t="shared" si="36"/>
        <v>92</v>
      </c>
      <c r="AC31" s="144">
        <f t="shared" si="36"/>
        <v>1</v>
      </c>
      <c r="AD31" s="144">
        <f t="shared" si="36"/>
        <v>0</v>
      </c>
      <c r="AE31" s="144">
        <f t="shared" si="36"/>
        <v>1</v>
      </c>
      <c r="AF31" s="144">
        <f t="shared" si="36"/>
        <v>0</v>
      </c>
      <c r="AG31" s="144">
        <f t="shared" si="36"/>
        <v>54</v>
      </c>
      <c r="AH31" s="144">
        <f t="shared" si="36"/>
        <v>218</v>
      </c>
      <c r="AI31" s="144">
        <f t="shared" si="36"/>
        <v>198</v>
      </c>
      <c r="AJ31" s="144">
        <f t="shared" si="36"/>
        <v>74</v>
      </c>
      <c r="AK31" s="144">
        <f t="shared" si="36"/>
        <v>0</v>
      </c>
      <c r="AL31" s="144">
        <f t="shared" si="36"/>
        <v>4</v>
      </c>
      <c r="AM31" s="144">
        <f t="shared" si="36"/>
        <v>3</v>
      </c>
      <c r="AN31" s="224">
        <f t="shared" si="36"/>
        <v>1</v>
      </c>
      <c r="AO31" s="225">
        <v>4</v>
      </c>
      <c r="AP31" s="225">
        <v>3</v>
      </c>
      <c r="AQ31" s="225">
        <v>3</v>
      </c>
      <c r="AR31" s="225">
        <v>3</v>
      </c>
      <c r="AS31" s="166">
        <f t="shared" si="36"/>
        <v>0</v>
      </c>
      <c r="AT31" s="166">
        <f t="shared" si="36"/>
        <v>0</v>
      </c>
      <c r="AU31" s="225"/>
      <c r="AV31" s="226"/>
      <c r="AW31" s="225"/>
      <c r="AX31" s="226"/>
      <c r="AY31" s="143">
        <f>SUBTOTAL(9,AY9:AY30)</f>
        <v>1658</v>
      </c>
      <c r="AZ31" s="144">
        <f>SUBTOTAL(9,AZ9:AZ30)</f>
        <v>4870</v>
      </c>
      <c r="BA31" s="144">
        <f>SUBTOTAL(9,BA9:BA30)</f>
        <v>4881</v>
      </c>
      <c r="BB31" s="144">
        <f>SUBTOTAL(9,BB9:BB30)</f>
        <v>1647</v>
      </c>
      <c r="BC31" s="145">
        <f>SUBTOTAL(9,BC9:BC30)</f>
        <v>1217</v>
      </c>
      <c r="BD31" s="227">
        <f>IF(ISNUMBER(BA31/AZ31),BA31/AZ31," - ")</f>
        <v>1.0022587268993839</v>
      </c>
      <c r="BE31" s="224">
        <f>IF(ISNUMBER(BB31/BA31),BB31/BA31, " - ")</f>
        <v>0.33743085433312847</v>
      </c>
      <c r="BF31" s="224">
        <f>IF(ISNUMBER(BC31/BA31),BC31/BA31, " - ")</f>
        <v>0.2493341528375333</v>
      </c>
      <c r="BG31" s="145">
        <f>IF(ISNUMBER((AY31+AZ31)/BA31),(AY31+AZ31)/BA31," - ")</f>
        <v>1.3374308543331284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zJrh6JHcGs3gxNBTiBI6Ud9P+1CxPBeoGk5T8NqayS2u336xEFYBC7fjMfOq6lQRPnC7gaYQS9WhNlPbwYCw==" saltValue="OueIxgRovQxvDzep8tqk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vYO/HGXQ5W8qrrwvfMQ4d9jvaLAV+qshf6pSvv0DhAVrHX9LlV7lhpzfcnK9OJoAQiwEk7YkBt9B1/T9u5Dw==" saltValue="gP0MvkUT5D37QQQOB/2S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RONDA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0.22222222222222221</v>
      </c>
      <c r="BH10" s="764">
        <f>IF(ISNUMBER(((Datos!L10/Datos!K10)*11)/factor_trimestre),((Datos!L10/Datos!K10)*11)/factor_trimestre," - ")</f>
        <v>38.5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184</v>
      </c>
      <c r="O12" s="549"/>
      <c r="P12" s="549"/>
      <c r="Q12" s="547">
        <f>IF(ISNUMBER(Datos!P12),Datos!P12,0)</f>
        <v>425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2078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390</v>
      </c>
      <c r="BD12" s="693">
        <f>IF(ISNUMBER(Datos!N12),Datos!N12," - ")</f>
        <v>845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0.86728245017015071</v>
      </c>
      <c r="BH12" s="764">
        <f>IF(ISNUMBER(((IF(J_V="SI",Datos!L12/Datos!K12,(Datos!L12+Datos!AB12)/(Datos!K12+Datos!AA12)))*11)/factor_trimestre),((IF(J_V="SI",Datos!L12/Datos!K12,(Datos!L12+Datos!AB12)/(Datos!K12+Datos!AA12)))*11)/factor_trimestre," - ")</f>
        <v>10.03195067264574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8.4551148225469733E-2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184</v>
      </c>
      <c r="O14" s="1199">
        <f t="shared" si="1"/>
        <v>0</v>
      </c>
      <c r="P14" s="1199">
        <f t="shared" si="1"/>
        <v>0</v>
      </c>
      <c r="Q14" s="1198">
        <f t="shared" si="1"/>
        <v>425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263</v>
      </c>
      <c r="AD14" s="1198">
        <f t="shared" si="2"/>
        <v>0</v>
      </c>
      <c r="AE14" s="1198">
        <f t="shared" si="2"/>
        <v>0</v>
      </c>
      <c r="AF14" s="1198">
        <f t="shared" si="2"/>
        <v>7</v>
      </c>
      <c r="AG14" s="1198">
        <f t="shared" si="2"/>
        <v>0</v>
      </c>
      <c r="AH14" s="1198">
        <f t="shared" si="2"/>
        <v>92</v>
      </c>
      <c r="AI14" s="1198">
        <f t="shared" si="2"/>
        <v>0</v>
      </c>
      <c r="AJ14" s="1198">
        <f t="shared" si="2"/>
        <v>0</v>
      </c>
      <c r="AK14" s="1198">
        <f t="shared" si="2"/>
        <v>0</v>
      </c>
      <c r="AL14" s="1198">
        <f t="shared" si="2"/>
        <v>0</v>
      </c>
      <c r="AM14" s="1198">
        <f t="shared" si="2"/>
        <v>2078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390</v>
      </c>
      <c r="BD14" s="1198">
        <f t="shared" si="2"/>
        <v>845</v>
      </c>
      <c r="BE14" s="1198">
        <f t="shared" si="2"/>
        <v>0</v>
      </c>
      <c r="BF14" s="1198">
        <f t="shared" si="2"/>
        <v>0</v>
      </c>
      <c r="BG14" s="1198">
        <f>IF(ISNUMBER(Datos!K14/Datos!J14),Datos!K14/Datos!J14," - ")</f>
        <v>0.85866099893730075</v>
      </c>
      <c r="BH14" s="1202">
        <f>IF(ISNUMBER(((Datos!L14/Datos!K14)*11)/factor_trimestre),((Datos!L14/Datos!K14)*11)/factor_trimestre," - ")</f>
        <v>10.49628712871287</v>
      </c>
      <c r="BI14" s="1198">
        <f>IF(ISNUMBER('Resol  Asuntos'!D14/NºAsuntos!G14),'Resol  Asuntos'!D14/NºAsuntos!G14," - ")</f>
        <v>0.21836506159014557</v>
      </c>
      <c r="BJ14" s="1198" t="str">
        <f>IF(ISNUMBER(Datos!CI14/Datos!CJ14),Datos!CI14/Datos!CJ14," - ")</f>
        <v xml:space="preserve"> - </v>
      </c>
      <c r="BK14" s="1198">
        <f>SUBTOTAL(9,BK8:BK13)</f>
        <v>0</v>
      </c>
      <c r="BL14" s="1198" t="str">
        <f>IF(ISNUMBER((I14-AB14+L14)/(F14)),(I14-AB14+L14)/(F14)," - ")</f>
        <v xml:space="preserve"> - </v>
      </c>
      <c r="BM14" s="1203">
        <f>SUBTOTAL(9,BM9:BM13)</f>
        <v>8.4551148225469733E-2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553</v>
      </c>
      <c r="G17" s="743">
        <f>IF(ISNUMBER(IF(D_I="SI",Datos!I17,Datos!I17+Datos!AC17)),IF(D_I="SI",Datos!I17,Datos!I17+Datos!AC17)," - ")</f>
        <v>633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2614</v>
      </c>
      <c r="AC17" s="240">
        <f>IF(ISNUMBER(Datos!Q17),Datos!Q17," - ")</f>
        <v>175</v>
      </c>
      <c r="AD17" s="374"/>
      <c r="AE17" s="562"/>
      <c r="AF17" s="741">
        <f>IF(ISNUMBER(IF(D_I="SI",Datos!L17,Datos!L17+Datos!AF17)),IF(D_I="SI",Datos!L17,Datos!L17+Datos!AF17)," - ")</f>
        <v>587</v>
      </c>
      <c r="AG17" s="374"/>
      <c r="AH17" s="374"/>
      <c r="AI17" s="374"/>
      <c r="AJ17" s="549"/>
      <c r="AK17" s="374"/>
      <c r="AL17" s="545"/>
      <c r="AM17" s="375">
        <f>IF(ISNUMBER(Datos!R17),Datos!R17," - ")</f>
        <v>115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301</v>
      </c>
      <c r="BD17" s="243">
        <f>IF(ISNUMBER(Datos!N17),Datos!N17," - ")</f>
        <v>1689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0.98716012084592142</v>
      </c>
      <c r="BH17" s="764">
        <f>IF(ISNUMBER(((IF(D_I="SI",Datos!L17/Datos!K17,(Datos!L17+Datos!AF17)/(Datos!K17+Datos!AE17)))*11)/factor_trimestre),((IF(D_I="SI",Datos!L17/Datos!K17,(Datos!L17+Datos!AF17)/(Datos!K17+Datos!AE17)))*11)/factor_trimestre," - ")</f>
        <v>2.4701606732976282</v>
      </c>
      <c r="BI17" s="266">
        <f>IF(ISNUMBER('Resol  Asuntos'!D17/NºAsuntos!G17),'Resol  Asuntos'!D17/NºAsuntos!G17," - ")</f>
        <v>0.11514919663351186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187</v>
      </c>
      <c r="AC18" s="547">
        <f>IF(ISNUMBER(Datos!Q18),Datos!Q18," - ")</f>
        <v>27</v>
      </c>
      <c r="AD18" s="549"/>
      <c r="AE18" s="562"/>
      <c r="AF18" s="551">
        <f>IF(ISNUMBER(Datos!L18),Datos!L18,"-")</f>
        <v>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0.93034825870646765</v>
      </c>
      <c r="BH18" s="764">
        <f>IF(ISNUMBER(((IF(D_I="SI",Datos!L18/Datos!K18,(Datos!L18+Datos!AF18)/(Datos!K18+Datos!AE18)))*11)/factor_trimestre),((IF(D_I="SI",Datos!L18/Datos!K18,(Datos!L18+Datos!AF18)/(Datos!K18+Datos!AE18)))*11)/factor_trimestre," - ")</f>
        <v>1.4705882352941178</v>
      </c>
      <c r="BI18" s="763">
        <f>IF(ISNUMBER('Resol  Asuntos'!D18/NºAsuntos!G18),'Resol  Asuntos'!D18/NºAsuntos!G18," - ")</f>
        <v>6.4171122994652413E-2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553</v>
      </c>
      <c r="G23" s="1197">
        <f>SUBTOTAL(9,G16:G22)</f>
        <v>640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2801</v>
      </c>
      <c r="AC23" s="1198">
        <f t="shared" si="5"/>
        <v>202</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118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313</v>
      </c>
      <c r="BD23" s="1198">
        <f t="shared" si="5"/>
        <v>1801</v>
      </c>
      <c r="BE23" s="1198">
        <f t="shared" si="5"/>
        <v>0</v>
      </c>
      <c r="BF23" s="1198">
        <f t="shared" si="5"/>
        <v>0</v>
      </c>
      <c r="BG23" s="1198">
        <f>IF(ISNUMBER(Datos!K23/Datos!J23),Datos!K23/Datos!J23," - ")</f>
        <v>0.98315198315198316</v>
      </c>
      <c r="BH23" s="1202">
        <f>IF(ISNUMBER(((Datos!L23/Datos!K23)*11)/factor_trimestre),((Datos!L23/Datos!K23)*11)/factor_trimestre," - ")</f>
        <v>2.4034273473759371</v>
      </c>
      <c r="BI23" s="1198">
        <f>SUBTOTAL(9,BI16:BI22)</f>
        <v>0.17932031962816428</v>
      </c>
      <c r="BJ23" s="1198">
        <f>SUBTOTAL(9,BJ16:BJ22)</f>
        <v>0</v>
      </c>
      <c r="BK23" s="1198">
        <f>SUBTOTAL(9,BK16:BK22)</f>
        <v>0</v>
      </c>
      <c r="BL23" s="1198">
        <f>IF(ISNUMBER((I23-AB23+L23)/(F23)),(I23-AB23+L23)/(F23)," - ")</f>
        <v>-5.0650994575045205</v>
      </c>
      <c r="BM23" s="1205">
        <f>IF(ISNUMBER((Datos!P23-Datos!Q23)/(Datos!R23-Datos!P23+Datos!Q23)),(Datos!P23-Datos!Q23)/(Datos!R23-Datos!P23+Datos!Q23)," - ")</f>
        <v>-0.25316455696202533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553</v>
      </c>
      <c r="G31" s="1117">
        <f t="shared" si="18"/>
        <v>640</v>
      </c>
      <c r="H31" s="1119">
        <f t="shared" si="18"/>
        <v>0</v>
      </c>
      <c r="I31" s="1117">
        <f t="shared" si="18"/>
        <v>0</v>
      </c>
      <c r="J31" s="1119">
        <f t="shared" si="18"/>
        <v>0</v>
      </c>
      <c r="K31" s="1119">
        <f t="shared" si="18"/>
        <v>0</v>
      </c>
      <c r="L31" s="1180">
        <f t="shared" si="18"/>
        <v>0</v>
      </c>
      <c r="M31" s="1180">
        <f t="shared" si="18"/>
        <v>0</v>
      </c>
      <c r="N31" s="1180">
        <f t="shared" si="18"/>
        <v>184</v>
      </c>
      <c r="O31" s="1180">
        <f t="shared" si="18"/>
        <v>0</v>
      </c>
      <c r="P31" s="1180">
        <f t="shared" si="18"/>
        <v>0</v>
      </c>
      <c r="Q31" s="1119">
        <f t="shared" si="18"/>
        <v>587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2803</v>
      </c>
      <c r="AC31" s="1118">
        <f t="shared" si="19"/>
        <v>465</v>
      </c>
      <c r="AD31" s="1118">
        <f t="shared" si="19"/>
        <v>0</v>
      </c>
      <c r="AE31" s="1118">
        <f t="shared" si="19"/>
        <v>0</v>
      </c>
      <c r="AF31" s="1125">
        <f t="shared" si="19"/>
        <v>619</v>
      </c>
      <c r="AG31" s="1125">
        <f t="shared" si="19"/>
        <v>0</v>
      </c>
      <c r="AH31" s="1125">
        <f t="shared" si="19"/>
        <v>92</v>
      </c>
      <c r="AI31" s="1125">
        <f t="shared" si="19"/>
        <v>0</v>
      </c>
      <c r="AJ31" s="1118">
        <f t="shared" si="19"/>
        <v>0</v>
      </c>
      <c r="AK31" s="1125">
        <f t="shared" si="19"/>
        <v>0</v>
      </c>
      <c r="AL31" s="1125">
        <f t="shared" si="19"/>
        <v>0</v>
      </c>
      <c r="AM31" s="1125">
        <f t="shared" si="19"/>
        <v>2196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703</v>
      </c>
      <c r="BD31" s="1117">
        <f t="shared" si="19"/>
        <v>2646</v>
      </c>
      <c r="BE31" s="1117">
        <f t="shared" si="19"/>
        <v>0</v>
      </c>
      <c r="BF31" s="1127">
        <f t="shared" si="19"/>
        <v>0</v>
      </c>
      <c r="BG31" s="1223">
        <f>IF(ISNUMBER(Datos!K31/Datos!J31),Datos!K31/Datos!J31," - ")</f>
        <v>0.93362925385753537</v>
      </c>
      <c r="BH31" s="1223">
        <f>IF(ISNUMBER(((Datos!L31/Datos!K31)*11)/factor_trimestre),((Datos!L31/Datos!K31)*11)/factor_trimestre," - ")</f>
        <v>5.3642743943853297</v>
      </c>
      <c r="BI31" s="1103">
        <f>IF(ISNUMBER(Datos!J31/Datos!I31),Datos!J31/Datos!I31," - ")</f>
        <v>3.0076287349014623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-5.06871609403255</v>
      </c>
      <c r="BM31" s="1188">
        <f>IF(ISNUMBER((Datos!P31-Datos!Q31+R31)/(Datos!R31-Datos!P31+Datos!Q31-R31)),(Datos!P31-Datos!Q31+R31)/(Datos!R31-Datos!P31+Datos!Q31-R31)," - ")</f>
        <v>5.8823529411764705E-2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285.5679720603602</v>
      </c>
      <c r="G33" s="674">
        <f>IF(ISNUMBER(STDEV(G8:G30)),STDEV(G8:G30),"-")</f>
        <v>309.91419703493665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1305.3715216457765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187.39168299885364</v>
      </c>
      <c r="BD33" s="673"/>
      <c r="BE33" s="673">
        <f>IF(ISNUMBER(STDEV(BE8:BE30)),STDEV(BE8:BE30),"-")</f>
        <v>0</v>
      </c>
      <c r="BF33" s="678">
        <f>IF(ISNUMBER(STDEV(BF8:BF30)),STDEV(BF8:BF30),"-")</f>
        <v>0</v>
      </c>
      <c r="BG33" s="1052">
        <f>IF(ISNUMBER(STDEV(BG8:BG30)),STDEV(BG8:BG30),"-")</f>
        <v>0.29221981433155386</v>
      </c>
      <c r="BH33" s="1058">
        <f>IF(ISNUMBER(STDEV(BH8:BH30)),STDEV(BH8:BH30),"-")</f>
        <v>14.105630868771295</v>
      </c>
      <c r="BI33" s="273">
        <f>IF(ISNUMBER(STDEV(BI8:BI30)),STDEV(BI8:BI30),"-")</f>
        <v>6.8270181300038424E-2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eQ82YKxQoywleoLgIpxTp0ppErg5JNP43fe1Ef3XJj+zRv85ByIuCEYhrOq5BSpNm6eUcPcY2QzeB5HSPvxPA==" saltValue="YWxm2XPPvbwYMBE5Ugc5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RONDA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38.5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263</v>
      </c>
      <c r="AA12" s="551" t="str">
        <f>IF(ISNUMBER(IF(J_V="SI",Datos!L12,Datos!L12+Datos!AB12)-IF(Monitorios="SI",Datos!CD12,0)),
                          IF(J_V="SI",Datos!L12,Datos!L12+Datos!AB12)-IF(Monitorios="SI",Datos!CD12,0),
                          " - ")</f>
        <v xml:space="preserve"> - </v>
      </c>
      <c r="AB12" s="549"/>
      <c r="AC12" s="549"/>
      <c r="AD12" s="563"/>
      <c r="AE12" s="563">
        <f>IF(ISNUMBER(Datos!R12),Datos!R12," - ")</f>
        <v>2078</v>
      </c>
      <c r="AF12" s="693" t="str">
        <f>IF(ISNUMBER(Datos!BV12),Datos!BV12," - ")</f>
        <v xml:space="preserve"> - </v>
      </c>
      <c r="AG12" s="552" t="str">
        <f>IF(ISNUMBER(Datos!DV12),Datos!DV12," - ")</f>
        <v xml:space="preserve"> - </v>
      </c>
      <c r="AH12" s="553"/>
      <c r="AI12" s="554"/>
      <c r="AJ12" s="552">
        <f>IF(ISNUMBER(Datos!M12),Datos!M12," - ")</f>
        <v>390</v>
      </c>
      <c r="AK12" s="693">
        <f>IF(ISNUMBER(Datos!N12),Datos!N12," - ")</f>
        <v>845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10.03195067264574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8.4551148225469733E-2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263</v>
      </c>
      <c r="AA14" s="1199">
        <f t="shared" si="3"/>
        <v>7</v>
      </c>
      <c r="AB14" s="1199">
        <f t="shared" si="3"/>
        <v>0</v>
      </c>
      <c r="AC14" s="1199">
        <f t="shared" si="3"/>
        <v>0</v>
      </c>
      <c r="AD14" s="1199">
        <f t="shared" si="3"/>
        <v>0</v>
      </c>
      <c r="AE14" s="1199">
        <f t="shared" si="3"/>
        <v>2078</v>
      </c>
      <c r="AF14" s="1211">
        <f t="shared" si="3"/>
        <v>0</v>
      </c>
      <c r="AG14" s="1211">
        <f t="shared" si="3"/>
        <v>0</v>
      </c>
      <c r="AH14" s="1211">
        <f t="shared" si="3"/>
        <v>0</v>
      </c>
      <c r="AI14" s="1211">
        <f t="shared" si="3"/>
        <v>0</v>
      </c>
      <c r="AJ14" s="1211">
        <f t="shared" si="3"/>
        <v>390</v>
      </c>
      <c r="AK14" s="1211">
        <f t="shared" si="3"/>
        <v>845</v>
      </c>
      <c r="AL14" s="1211">
        <f t="shared" si="3"/>
        <v>0</v>
      </c>
      <c r="AM14" s="1211">
        <f t="shared" si="3"/>
        <v>0</v>
      </c>
      <c r="AN14" s="1211">
        <f t="shared" si="3"/>
        <v>0</v>
      </c>
      <c r="AO14" s="1203">
        <f>IF(ISNUMBER(((NºAsuntos!I14/NºAsuntos!G14)*11)/factor_trimestre),((NºAsuntos!I14/NºAsuntos!G14)*11)/factor_trimestre," - ")</f>
        <v>10.063829787234042</v>
      </c>
      <c r="AP14" s="1213" t="str">
        <f>IF(ISNUMBER(Datos!CI14/Datos!CJ14),Datos!CI14/Datos!CJ14," - ")</f>
        <v xml:space="preserve"> - </v>
      </c>
      <c r="AQ14" s="1236">
        <f t="shared" ref="AQ14:AV14" si="4">SUBTOTAL(9,AQ9:AQ13)</f>
        <v>0</v>
      </c>
      <c r="AR14" s="1236">
        <f t="shared" si="4"/>
        <v>8.4551148225469733E-2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553</v>
      </c>
      <c r="G17" s="552">
        <f>IF(ISNUMBER(IF(D_I="SI",Datos!I17,Datos!I17+Datos!AC17)),IF(D_I="SI",Datos!I17,Datos!I17+Datos!AC17)," - ")</f>
        <v>633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2614</v>
      </c>
      <c r="Z17" s="805">
        <f>IF(ISNUMBER(Datos!Q17),Datos!Q17," - ")</f>
        <v>175</v>
      </c>
      <c r="AA17" s="551">
        <f>IF(ISNUMBER(IF(D_I="SI",Datos!L17,Datos!L17+Datos!AF17)),IF(D_I="SI",Datos!L17,Datos!L17+Datos!AF17)," - ")</f>
        <v>587</v>
      </c>
      <c r="AB17" s="549"/>
      <c r="AC17" s="549"/>
      <c r="AD17" s="563"/>
      <c r="AE17" s="563">
        <f>IF(ISNUMBER(Datos!R17),Datos!R17," - ")</f>
        <v>115</v>
      </c>
      <c r="AF17" s="693" t="str">
        <f>IF(ISNUMBER(Datos!BV17),Datos!BV17," - ")</f>
        <v xml:space="preserve"> - </v>
      </c>
      <c r="AG17" s="552"/>
      <c r="AH17" s="553"/>
      <c r="AI17" s="554"/>
      <c r="AJ17" s="552">
        <f>IF(ISNUMBER(Datos!M17),Datos!M17," - ")</f>
        <v>301</v>
      </c>
      <c r="AK17" s="693">
        <f>IF(ISNUMBER(Datos!N17),Datos!N17," - ")</f>
        <v>1689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2.4701606732976282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187</v>
      </c>
      <c r="Z18" s="805">
        <f>IF(ISNUMBER(Datos!Q18),Datos!Q18," - ")</f>
        <v>27</v>
      </c>
      <c r="AA18" s="551">
        <f>IF(ISNUMBER(Datos!L18),Datos!L18,"-")</f>
        <v>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112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553</v>
      </c>
      <c r="G23" s="1197">
        <f>SUBTOTAL(9,G16:G22)</f>
        <v>640</v>
      </c>
      <c r="H23" s="1240">
        <f>SUBTOTAL(9,H16:H22)</f>
        <v>0</v>
      </c>
      <c r="I23" s="1217">
        <f>SUBTOTAL(9,I16:I22)</f>
        <v>0</v>
      </c>
      <c r="J23" s="1164">
        <f>SUBTOTAL(9,J15:J22)</f>
        <v>0</v>
      </c>
      <c r="K23" s="1240">
        <f t="shared" ref="K23:S23" si="5">SUBTOTAL(9,K16:K22)</f>
        <v>0</v>
      </c>
      <c r="L23" s="1240">
        <f t="shared" si="5"/>
        <v>0</v>
      </c>
      <c r="M23" s="1240">
        <f t="shared" si="5"/>
        <v>0</v>
      </c>
      <c r="N23" s="1240">
        <f t="shared" si="5"/>
        <v>162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2801</v>
      </c>
      <c r="Z23" s="1240">
        <f t="shared" si="6"/>
        <v>202</v>
      </c>
      <c r="AA23" s="1240">
        <f t="shared" si="6"/>
        <v>612</v>
      </c>
      <c r="AB23" s="1240">
        <f t="shared" si="6"/>
        <v>0</v>
      </c>
      <c r="AC23" s="1240">
        <f t="shared" si="6"/>
        <v>0</v>
      </c>
      <c r="AD23" s="1240">
        <f t="shared" si="6"/>
        <v>0</v>
      </c>
      <c r="AE23" s="1240">
        <f t="shared" si="6"/>
        <v>118</v>
      </c>
      <c r="AF23" s="1240">
        <f t="shared" si="6"/>
        <v>0</v>
      </c>
      <c r="AG23" s="1240">
        <f t="shared" si="6"/>
        <v>0</v>
      </c>
      <c r="AH23" s="1240">
        <f t="shared" si="6"/>
        <v>0</v>
      </c>
      <c r="AI23" s="1240">
        <f t="shared" si="6"/>
        <v>0</v>
      </c>
      <c r="AJ23" s="1240">
        <f t="shared" si="6"/>
        <v>313</v>
      </c>
      <c r="AK23" s="1240">
        <f t="shared" si="6"/>
        <v>1801</v>
      </c>
      <c r="AL23" s="1240">
        <f t="shared" si="6"/>
        <v>0</v>
      </c>
      <c r="AM23" s="1240">
        <f t="shared" si="6"/>
        <v>0</v>
      </c>
      <c r="AN23" s="1240">
        <f t="shared" si="6"/>
        <v>0</v>
      </c>
      <c r="AO23" s="1242">
        <f>IF(ISNUMBER(((NºAsuntos!I23/NºAsuntos!G23)*11)/factor_trimestre),((NºAsuntos!I23/NºAsuntos!G23)*11)/factor_trimestre," - ")</f>
        <v>2.4034273473759371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553</v>
      </c>
      <c r="G31" s="1117">
        <f t="shared" si="12"/>
        <v>640</v>
      </c>
      <c r="H31" s="1118">
        <f t="shared" si="12"/>
        <v>0</v>
      </c>
      <c r="I31" s="1117">
        <f t="shared" si="12"/>
        <v>0</v>
      </c>
      <c r="J31" s="1119">
        <f t="shared" si="12"/>
        <v>0</v>
      </c>
      <c r="K31" s="1117">
        <f t="shared" si="12"/>
        <v>0</v>
      </c>
      <c r="L31" s="1120">
        <f t="shared" si="12"/>
        <v>0</v>
      </c>
      <c r="M31" s="1117">
        <f t="shared" si="12"/>
        <v>0</v>
      </c>
      <c r="N31" s="1118">
        <f t="shared" si="12"/>
        <v>587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2803</v>
      </c>
      <c r="Z31" s="1124">
        <f t="shared" si="13"/>
        <v>465</v>
      </c>
      <c r="AA31" s="1125">
        <f t="shared" si="13"/>
        <v>619</v>
      </c>
      <c r="AB31" s="1125">
        <f t="shared" si="13"/>
        <v>0</v>
      </c>
      <c r="AC31" s="1125">
        <f t="shared" si="13"/>
        <v>0</v>
      </c>
      <c r="AD31" s="1126">
        <f t="shared" si="13"/>
        <v>0</v>
      </c>
      <c r="AE31" s="1126">
        <f t="shared" si="13"/>
        <v>2196</v>
      </c>
      <c r="AF31" s="1127">
        <f t="shared" si="13"/>
        <v>0</v>
      </c>
      <c r="AG31" s="1128">
        <f t="shared" si="13"/>
        <v>0</v>
      </c>
      <c r="AH31" s="1129">
        <f t="shared" si="13"/>
        <v>0</v>
      </c>
      <c r="AI31" s="1127">
        <f t="shared" si="13"/>
        <v>0</v>
      </c>
      <c r="AJ31" s="1117">
        <f t="shared" si="13"/>
        <v>703</v>
      </c>
      <c r="AK31" s="1117">
        <f t="shared" si="13"/>
        <v>2646</v>
      </c>
      <c r="AL31" s="1117">
        <f t="shared" si="13"/>
        <v>0</v>
      </c>
      <c r="AM31" s="1130">
        <f t="shared" si="13"/>
        <v>0</v>
      </c>
      <c r="AN31" s="1120">
        <f>IF(ISNUMBER(Datos!K31/Datos!J31),Datos!K31/Datos!J31," - ")</f>
        <v>0.93362925385753537</v>
      </c>
      <c r="AO31" s="1120">
        <f>IF(ISNUMBER(FIND("06",Criterios!A8,1)),(IF(ISNUMBER(((Datos!R31/Datos!Q31)*11)/factor_trimestre),((Datos!R31/Datos!Q31)*11)/factor_trimestre," - ")),(IF(ISNUMBER(((Datos!L31/Datos!K31)*11)/factor_trimestre),((Datos!L31/Datos!K31)*11)/factor_trimestre," - ")))</f>
        <v>5.3642743943853297</v>
      </c>
      <c r="AP31" s="1131" t="str">
        <f>IF(ISNUMBER(Datos!CI31/Datos!CJ31),Datos!CI31/Datos!CJ31," - ")</f>
        <v xml:space="preserve"> - </v>
      </c>
      <c r="AQ31" s="1131">
        <f>IF(OR(ISNUMBER(FIND("01",Criterios!A8,1)),ISNUMBER(FIND("02",Criterios!A8,1)),ISNUMBER(FIND("03",Criterios!A8,1)),ISNUMBER(FIND("04",Criterios!A8,1))),(J31-Y31+K31)/(F31-K31),(I31-Y31+K31)/(F31-K31))</f>
        <v>-5.06871609403255</v>
      </c>
      <c r="AR31" s="1131">
        <f>IF(ISNUMBER((Datos!P31-Datos!Q31+O31)/(Datos!R31-Datos!P31+Datos!Q31-O31)),(Datos!P31-Datos!Q31+O31)/(Datos!R31-Datos!P31+Datos!Q31-O31)," - ")</f>
        <v>5.8823529411764705E-2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285.5679720603602</v>
      </c>
      <c r="G33" s="674">
        <f>IF(ISNUMBER(STDEV(G8:G30)),STDEV(G8:G30),"-")</f>
        <v>309.91419703493665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187.39168299885364</v>
      </c>
      <c r="AK33" s="276"/>
      <c r="AL33" s="276">
        <f>IF(ISNUMBER(STDEV(AL8:AL30)),STDEV(AL8:AL30),"-")</f>
        <v>0</v>
      </c>
      <c r="AM33" s="278">
        <f>IF(ISNUMBER(STDEV(AM8:AM30)),STDEV(AM8:AM30),"-")</f>
        <v>0</v>
      </c>
      <c r="AN33" s="660">
        <f>IF(ISNUMBER(STDEV(AN8:AN30)),STDEV(AN8:AN30),"-")</f>
        <v>0</v>
      </c>
      <c r="AO33" s="661">
        <f>IF(ISNUMBER(STDEV(AO8:AO30)),STDEV(AO8:AO30),"-")</f>
        <v>14.109182549667899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C8lpUuXRUECpSAtv1sHpVJLbZL2ud3S/BUEddPCwxm9jz4vJGMePlFNKHtQp3q0h0gXcxG1AsBQQJVmOysNJA==" saltValue="ruG0bGTe/DqwILh2W0lk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vIiDq4+8iOKaIUfoM3fkHlAJcVcLH19EyEoofsHY2Vap8LD3oV4k4ZBoVwdwzEnYjDg1Wnpi1QVb5OjF0+Flw==" saltValue="Aqk54Uv9H8rHY2fIQ556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D1FKwlI1o2zoXNhXEC+mRVAk3u/WU2y8Q1Ka8W05TiPH3qA9Fy4zBJM+f6ETaA8hI0FaZZgy0m6kS+4xVzTA==" saltValue="2CDf+0KaqaBLAS1CNhNx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RONDA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0.21836506159014557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0.15440741582461004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nhgvhL99NItKMVQ/UgIeo/tyWktgxHeYq39nF56fB3Td4GrOStG7E6OwConEeGyEuCt2cemAoNpAfuLyLeuxQ==" saltValue="hkSsMeOyQWquywJTarHF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j6hjOKlN21nff6jk2BorRJoWq8yKqR7q2dKCRHRTtCy99nZzU8mV2DLKBGYMA/ORjBMOUnQKlJ6XWf32jl9Zw==" saltValue="S/U+ya5M3RC4iU/UlW0f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RONDA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9</v>
      </c>
      <c r="F10" s="452">
        <f>IF(ISNUMBER(E10/B10),E10/B10," - ")</f>
        <v>9</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1007</v>
      </c>
      <c r="D12" s="452">
        <f>IF(ISNUMBER(C12/Datos!BH12),C12/Datos!BH12," - ")</f>
        <v>335.66666666666669</v>
      </c>
      <c r="E12" s="451">
        <f>IF(ISNUMBER(IF(J_V="SI",Datos!J12,Datos!J12+Datos!Z12)),IF(J_V="SI",Datos!J12,Datos!J12+Datos!Z12)," - ")</f>
        <v>2057</v>
      </c>
      <c r="F12" s="452">
        <f>IF(ISNUMBER(E12/B12),E12/B12," - ")</f>
        <v>685.66666666666663</v>
      </c>
      <c r="G12" s="451">
        <f>IF(ISNUMBER(IF(J_V="SI",Datos!K12,Datos!K12+Datos!AA12)),IF(J_V="SI",Datos!K12,Datos!K12+Datos!AA12)," - ")</f>
        <v>1784</v>
      </c>
      <c r="H12" s="452">
        <f>IF(ISNUMBER(G12/B12),G12/B12," - ")</f>
        <v>594.66666666666663</v>
      </c>
      <c r="I12" s="451">
        <f>IF(ISNUMBER(IF(J_V="SI",Datos!L12,Datos!L12+Datos!AB12)),IF(J_V="SI",Datos!L12,Datos!L12+Datos!AB12)," - ")</f>
        <v>1627</v>
      </c>
      <c r="J12" s="452">
        <f>IF(ISNUMBER(I12/B12),I12/B12," - ")</f>
        <v>542.33333333333337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1007</v>
      </c>
      <c r="D14" s="1147" t="str">
        <f>IF(ISNUMBER(C14/Datos!BI14),C14/Datos!BI14," - ")</f>
        <v xml:space="preserve"> - </v>
      </c>
      <c r="E14" s="1146">
        <f>SUBTOTAL(9,E8:E13)</f>
        <v>2066</v>
      </c>
      <c r="F14" s="1147">
        <f>IF(ISNUMBER(E14/B14),E14/B14," - ")</f>
        <v>688.66666666666663</v>
      </c>
      <c r="G14" s="1146">
        <f>SUBTOTAL(9,G8:G13)</f>
        <v>1786</v>
      </c>
      <c r="H14" s="1147">
        <f>IF(ISNUMBER(G14/B14),G14/B14," - ")</f>
        <v>595.33333333333337</v>
      </c>
      <c r="I14" s="1146">
        <f>SUBTOTAL(9,I8:I13)</f>
        <v>1634</v>
      </c>
      <c r="J14" s="1147">
        <f>IF(ISNUMBER(I14/B14),I14/B14," - ")</f>
        <v>544.66666666666663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633</v>
      </c>
      <c r="D17" s="452">
        <f>IF(ISNUMBER(C17/Datos!BH17),C17/Datos!BH17," - ")</f>
        <v>211</v>
      </c>
      <c r="E17" s="451">
        <f>IF(ISNUMBER(IF(D_I="SI",Datos!J17,Datos!J17+Datos!AD17)),IF(D_I="SI",Datos!J17,Datos!J17+Datos!AD17)," - ")</f>
        <v>2648</v>
      </c>
      <c r="F17" s="452">
        <f>IF(ISNUMBER(E17/B17),E17/B17," - ")</f>
        <v>882.66666666666663</v>
      </c>
      <c r="G17" s="451">
        <f>IF(ISNUMBER(IF(D_I="SI",Datos!K17,Datos!K17+Datos!AE17)),IF(D_I="SI",Datos!K17,Datos!K17+Datos!AE17)," - ")</f>
        <v>2614</v>
      </c>
      <c r="H17" s="452">
        <f>IF(ISNUMBER(G17/B17),G17/B17," - ")</f>
        <v>871.33333333333337</v>
      </c>
      <c r="I17" s="451">
        <f>IF(ISNUMBER(IF(D_I="SI",Datos!L17,Datos!L17+Datos!AF17)),IF(D_I="SI",Datos!L17,Datos!L17+Datos!AF17)," - ")</f>
        <v>587</v>
      </c>
      <c r="J17" s="452">
        <f>IF(ISNUMBER(I17/B17),I17/B17," - ")</f>
        <v>195.66666666666666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201</v>
      </c>
      <c r="F18" s="452">
        <f>IF(ISNUMBER(E18/B18),E18/B18," - ")</f>
        <v>201</v>
      </c>
      <c r="G18" s="451">
        <f>IF(ISNUMBER(IF(D_I="SI",Datos!K18,Datos!K18+Datos!AE18)),IF(D_I="SI",Datos!K18,Datos!K18+Datos!AE18)," - ")</f>
        <v>187</v>
      </c>
      <c r="H18" s="452">
        <f>IF(ISNUMBER(G18/B18),G18/B18," - ")</f>
        <v>187</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640</v>
      </c>
      <c r="D23" s="1147" t="str">
        <f>IF(ISNUMBER(C23/Datos!BI23),C23/Datos!BI23," - ")</f>
        <v xml:space="preserve"> - </v>
      </c>
      <c r="E23" s="1146">
        <f>SUBTOTAL(9,E15:E22)</f>
        <v>2849</v>
      </c>
      <c r="F23" s="1147">
        <f>IF(ISNUMBER(E23/B23),E23/B23," - ")</f>
        <v>949.66666666666663</v>
      </c>
      <c r="G23" s="1146">
        <f>SUBTOTAL(9,G15:G22)</f>
        <v>2801</v>
      </c>
      <c r="H23" s="1147">
        <f>IF(ISNUMBER(G23/B23),G23/B23," - ")</f>
        <v>933.66666666666663</v>
      </c>
      <c r="I23" s="1146">
        <f>SUBTOTAL(9,I15:I22)</f>
        <v>612</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1647</v>
      </c>
      <c r="D31" s="1085" t="str">
        <f>IF(ISNUMBER(C31/Datos!BI31),C31/Datos!BI31," - ")</f>
        <v xml:space="preserve"> - </v>
      </c>
      <c r="E31" s="1084">
        <f>SUBTOTAL(9,E9:E30)</f>
        <v>4915</v>
      </c>
      <c r="F31" s="1085">
        <f>IF(ISNUMBER(E31/B31),E31/B31," - ")</f>
        <v>1638.3333333333333</v>
      </c>
      <c r="G31" s="1084">
        <f>SUBTOTAL(9,G9:G30)</f>
        <v>4587</v>
      </c>
      <c r="H31" s="1085">
        <f>IF(ISNUMBER(G31/B31),G31/B31," - ")</f>
        <v>1529</v>
      </c>
      <c r="I31" s="1084">
        <f>SUBTOTAL(9,I9:I30)</f>
        <v>2246</v>
      </c>
      <c r="J31" s="1085">
        <f>IF(ISNUMBER(I31/B31),I31/B31," - ")</f>
        <v>748.66666666666663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4hZyhUic1Ot9yN43dOaJcEmq8Xe047Fk8cwjGffCZw/fam1U6edxjHZxk8FnjccZxiInUMYvW8PHlD8MLFyIg==" saltValue="Wu41zaNFly/RTDD+vRC2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RONDA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390</v>
      </c>
      <c r="AM12" s="914">
        <f>IF(ISNUMBER(Datos!N12+DatosP!N17),Datos!N12+DatosP!N17," - ")</f>
        <v>845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10.03195067264574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8.4551148225469733E-2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263</v>
      </c>
      <c r="AE14" s="1257">
        <f t="shared" si="1"/>
        <v>0</v>
      </c>
      <c r="AF14" s="1257">
        <f t="shared" si="1"/>
        <v>7</v>
      </c>
      <c r="AG14" s="1257">
        <f t="shared" si="1"/>
        <v>0</v>
      </c>
      <c r="AH14" s="1257">
        <f t="shared" si="1"/>
        <v>2078</v>
      </c>
      <c r="AI14" s="1257">
        <f t="shared" si="1"/>
        <v>0</v>
      </c>
      <c r="AJ14" s="1257">
        <f t="shared" si="1"/>
        <v>0</v>
      </c>
      <c r="AK14" s="1257">
        <f t="shared" si="1"/>
        <v>0</v>
      </c>
      <c r="AL14" s="1257">
        <f t="shared" si="1"/>
        <v>390</v>
      </c>
      <c r="AM14" s="1257">
        <f t="shared" si="1"/>
        <v>845</v>
      </c>
      <c r="AN14" s="1257">
        <f t="shared" si="1"/>
        <v>0</v>
      </c>
      <c r="AO14" s="1257">
        <f t="shared" si="1"/>
        <v>0</v>
      </c>
      <c r="AP14" s="1262">
        <f>IF(ISNUMBER(((Datos!L14/Datos!K14)*11)/factor_trimestre),((Datos!L14/Datos!K14)*11)/factor_trimestre," - ")</f>
        <v>10.49628712871287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8.4551148225469733E-2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2.4034273473759371</v>
      </c>
      <c r="AQ23" s="1262">
        <f>IF(ISNUMBER(((Datos!M23/Datos!L23)*11)/factor_trimestre),((Datos!M23/Datos!L23)*11)/factor_trimestre," - ")</f>
        <v>5.6258169934640518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-0.25316455696202533</v>
      </c>
      <c r="AW23" s="1265">
        <f>IF(ISNUMBER((Datos!Q23-Datos!R23)/(Datos!S23-Datos!Q23+Datos!R23)),(Datos!Q23-Datos!R23)/(Datos!S23-Datos!Q23+Datos!R23)," - ")</f>
        <v>0.14310051107325383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263</v>
      </c>
      <c r="AE31" s="1284">
        <f t="shared" si="9"/>
        <v>0</v>
      </c>
      <c r="AF31" s="1285">
        <f t="shared" si="9"/>
        <v>7</v>
      </c>
      <c r="AG31" s="1285">
        <f t="shared" si="9"/>
        <v>0</v>
      </c>
      <c r="AH31" s="1285">
        <f t="shared" si="9"/>
        <v>2078</v>
      </c>
      <c r="AI31" s="1285">
        <f t="shared" si="9"/>
        <v>0</v>
      </c>
      <c r="AJ31" s="1286">
        <f t="shared" si="9"/>
        <v>0</v>
      </c>
      <c r="AK31" s="1286">
        <f t="shared" si="9"/>
        <v>0</v>
      </c>
      <c r="AL31" s="1278">
        <f t="shared" si="9"/>
        <v>390</v>
      </c>
      <c r="AM31" s="1278">
        <f t="shared" si="9"/>
        <v>845</v>
      </c>
      <c r="AN31" s="1278">
        <f t="shared" si="9"/>
        <v>0</v>
      </c>
      <c r="AO31" s="1278">
        <f t="shared" si="9"/>
        <v>0</v>
      </c>
      <c r="AP31" s="1278">
        <f>IF(ISNUMBER(((Datos!L31/Datos!K31)*11)/factor_trimestre),((Datos!L31/Datos!K31)*11)/factor_trimestre," - ")</f>
        <v>5.3642743943853297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5.8823529411764705E-2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201.39513400278568</v>
      </c>
      <c r="AM33" s="1006"/>
      <c r="AN33" s="1006">
        <f>IF(ISNUMBER(STDEV(AN8:AN30)),STDEV(AN8:AN30),"-")</f>
        <v>0</v>
      </c>
      <c r="AO33" s="1012">
        <f>IF(ISNUMBER(STDEV(AO8:AO30)),STDEV(AO8:AO30),"-")</f>
        <v>0</v>
      </c>
      <c r="AP33" s="1065">
        <f>IF(ISNUMBER(STDEV(AP8:AP30)),STDEV(AP8:AP30),"-")</f>
        <v>15.867956916002488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k8YeioOViwVmQ+meRpcMk0PSDT1Uo4T/9kHCOp4fC/Uxn7TP1gYJBalRWKbQqx0NHhqVS9ENlRYEJvtR/sBhg==" saltValue="l+My3xjba+b9rqaaJ26P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RONDA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XC4g/oh4rpzXNmEnGhMU1VJoA+CAFblMXx3BvD9BZe2qtX2G2tcwJgkaeceFAsTolmi1szjRnKq0CiCAaXiWw==" saltValue="C/aGQbexfjsaZUJ5112i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RONDA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390</v>
      </c>
      <c r="E12" s="452">
        <f t="shared" si="0"/>
        <v>130</v>
      </c>
      <c r="F12" s="451">
        <f>IF(ISNUMBER(Datos!N12),Datos!N12," - ")</f>
        <v>845</v>
      </c>
      <c r="G12" s="452">
        <f t="shared" si="1"/>
        <v>281.66666666666669</v>
      </c>
      <c r="H12" s="451">
        <f>IF(ISNUMBER(Datos!O12),Datos!O12," - ")</f>
        <v>743</v>
      </c>
      <c r="I12" s="452">
        <f t="shared" si="2"/>
        <v>247.66666666666666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390</v>
      </c>
      <c r="E14" s="1147">
        <f t="shared" si="0"/>
        <v>97.5</v>
      </c>
      <c r="F14" s="1146">
        <f>SUBTOTAL(9,F9:F13)</f>
        <v>845</v>
      </c>
      <c r="G14" s="1147">
        <f t="shared" si="1"/>
        <v>211.25</v>
      </c>
      <c r="H14" s="1146">
        <f>SUBTOTAL(9,H9:H13)</f>
        <v>743</v>
      </c>
      <c r="I14" s="1147">
        <f>IF(ISNUMBER(H14/B14),H14/B14," - ")</f>
        <v>185.75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301</v>
      </c>
      <c r="E17" s="452">
        <f t="shared" si="3"/>
        <v>100.33333333333333</v>
      </c>
      <c r="F17" s="451">
        <f>IF(ISNUMBER(Datos!N17),Datos!N17," - ")</f>
        <v>1689</v>
      </c>
      <c r="G17" s="452">
        <f t="shared" si="4"/>
        <v>563</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112</v>
      </c>
      <c r="G18" s="452">
        <f>IF(ISNUMBER(F18/B18),F18/B18," - ")</f>
        <v>112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313</v>
      </c>
      <c r="E23" s="1147">
        <f t="shared" si="3"/>
        <v>78.25</v>
      </c>
      <c r="F23" s="1146">
        <f>SUBTOTAL(9,F16:F22)</f>
        <v>1801</v>
      </c>
      <c r="G23" s="1147">
        <f t="shared" si="4"/>
        <v>450.25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703</v>
      </c>
      <c r="E31" s="1085">
        <f>IF(ISNUMBER(D31/B31),D31/B31," - ")</f>
        <v>234.33333333333334</v>
      </c>
      <c r="F31" s="1084">
        <f>SUBTOTAL(9,F8:F30)</f>
        <v>2646</v>
      </c>
      <c r="G31" s="1085">
        <f>IF(ISNUMBER(F31/B31),F31/B31," - ")</f>
        <v>882</v>
      </c>
      <c r="H31" s="1084">
        <f>SUBTOTAL(9,H8:H30)</f>
        <v>743</v>
      </c>
      <c r="I31" s="1085">
        <f>IF(ISNUMBER(H31/B31),H31/B31," - ")</f>
        <v>247.66666666666666</v>
      </c>
    </row>
    <row r="34" spans="1:1">
      <c r="A34" s="439" t="str">
        <f>Criterios!A4</f>
        <v>Fecha Informe: 06 may. 2023</v>
      </c>
    </row>
    <row r="39" spans="1:1">
      <c r="A39" s="462"/>
    </row>
  </sheetData>
  <sheetProtection algorithmName="SHA-512" hashValue="keHgL4BwP04oJCpWyRodkW1dI7k87YWEs35qAMlHOSJVf2YMunBPNTnXRZ+U/+TBNnO4EdsMnav8Hu36WiKnwQ==" saltValue="Nj6XV93v0evDJFqhhPMt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RONDA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425</v>
      </c>
      <c r="C12" s="489">
        <f>IF(ISNUMBER(Datos!Q12),Datos!Q12," - ")</f>
        <v>263</v>
      </c>
      <c r="D12" s="456">
        <f>IF(ISNUMBER(Datos!R12),Datos!R12," - ")</f>
        <v>2078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425</v>
      </c>
      <c r="C14" s="1150">
        <f>SUBTOTAL(9,C9:C13)</f>
        <v>263</v>
      </c>
      <c r="D14" s="1148">
        <f>SUBTOTAL(9,D9:D13)</f>
        <v>2078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158</v>
      </c>
      <c r="C17" s="489">
        <f>IF(ISNUMBER(Datos!Q17),Datos!Q17," - ")</f>
        <v>175</v>
      </c>
      <c r="D17" s="456">
        <f>IF(ISNUMBER(Datos!R17),Datos!R17," - ")</f>
        <v>115</v>
      </c>
    </row>
    <row r="18" spans="1:4">
      <c r="A18" s="450" t="str">
        <f>Datos!A18</f>
        <v>Jdos. Violencia contra la mujer</v>
      </c>
      <c r="B18" s="488">
        <f>IF(ISNUMBER(Datos!P18),Datos!P18," - ")</f>
        <v>4</v>
      </c>
      <c r="C18" s="489">
        <f>IF(ISNUMBER(Datos!Q18),Datos!Q18," - ")</f>
        <v>27</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162</v>
      </c>
      <c r="C23" s="1150">
        <f>SUBTOTAL(9,C16:C22)</f>
        <v>202</v>
      </c>
      <c r="D23" s="1148">
        <f>SUBTOTAL(9,D16:D22)</f>
        <v>118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587</v>
      </c>
      <c r="C31" s="1089">
        <f>SUBTOTAL(9,C8:C30)</f>
        <v>465</v>
      </c>
      <c r="D31" s="1090">
        <f>SUBTOTAL(9,D8:D30)</f>
        <v>2196</v>
      </c>
    </row>
    <row r="32" spans="1:4" ht="7.5" customHeight="1"/>
    <row r="33" spans="1:1" ht="6" customHeight="1"/>
    <row r="34" spans="1:1">
      <c r="A34" s="439" t="str">
        <f>Criterios!A4</f>
        <v>Fecha Informe: 06 may. 2023</v>
      </c>
    </row>
    <row r="39" spans="1:1">
      <c r="A39" s="462"/>
    </row>
  </sheetData>
  <sheetProtection algorithmName="SHA-512" hashValue="3X3nVfqUhDRh3x2v1d2xFhBYmDt9aejzHn3IAKtQwdkawZI3NGZsrOyiS36C9YqLeG9DdQWaJU7C8XZ68RZisw==" saltValue="RLi7dzu0adYUSeiAMUfA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RONDA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-0.1</v>
      </c>
      <c r="D10" s="515">
        <f>IF(ISNUMBER((Datos!K10-Datos!U10)/Datos!U10),(Datos!K10-Datos!U10)/Datos!U10," - ")</f>
        <v>-0.8</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-0.77777777777777779</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2.0263424518743668E-2</v>
      </c>
      <c r="C12" s="515">
        <f>IF(ISNUMBER(
   IF(J_V="SI",(Datos!J12-Datos!T12)/Datos!T12,(Datos!J12+Datos!Z12-(Datos!T12+Datos!AH12))/(Datos!T12+Datos!AH12))
     ),IF(J_V="SI",(Datos!J12-Datos!T12)/Datos!T12,(Datos!J12+Datos!Z12-(Datos!T12+Datos!AH12))/(Datos!T12+Datos!AH12))," - ")</f>
        <v>-8.1967213114754103E-3</v>
      </c>
      <c r="D12" s="515">
        <f>IF(ISNUMBER(
   IF(J_V="SI",(Datos!K12-Datos!U12)/Datos!U12,(Datos!K12+Datos!AA12-(Datos!U12+Datos!AI12))/(Datos!U12+Datos!AI12))
     ),IF(J_V="SI",(Datos!K12-Datos!U12)/Datos!U12,(Datos!K12+Datos!AA12-(Datos!U12+Datos!AI12))/(Datos!U12+Datos!AI12))," - ")</f>
        <v>-0.1314508276533593</v>
      </c>
      <c r="E12" s="515">
        <f>IF(ISNUMBER(
   IF(J_V="SI",(Datos!L12-Datos!V12)/Datos!V12,(Datos!L12+Datos!AB12-(Datos!V12+Datos!AJ12))/(Datos!V12+Datos!AJ12))
     ),IF(J_V="SI",(Datos!L12-Datos!V12)/Datos!V12,(Datos!L12+Datos!AB12-(Datos!V12+Datos!AJ12))/(Datos!V12+Datos!AJ12))," - ")</f>
        <v>0.6156901688182721</v>
      </c>
      <c r="F12" s="515">
        <f>IF(ISNUMBER((Datos!M12-Datos!W12)/Datos!W12),(Datos!M12-Datos!W12)/Datos!W12," - ")</f>
        <v>-0.13333333333333333</v>
      </c>
      <c r="G12" s="516">
        <f>IF(ISNUMBER((Datos!N12-Datos!X12)/Datos!X12),(Datos!N12-Datos!X12)/Datos!X12," - ")</f>
        <v>5.9523809523809521E-3</v>
      </c>
      <c r="H12" s="514">
        <f>IF(ISNUMBER(((NºAsuntos!G12/NºAsuntos!E12)-Datos!BD12)/Datos!BD12),((NºAsuntos!G12/NºAsuntos!E12)-Datos!BD12)/Datos!BD12," - ")</f>
        <v>-0.12427273531991602</v>
      </c>
      <c r="I12" s="515">
        <f>IF(ISNUMBER(((NºAsuntos!I12/NºAsuntos!G12)-Datos!BE12)/Datos!BE12),((NºAsuntos!I12/NºAsuntos!G12)-Datos!BE12)/Datos!BE12," - ")</f>
        <v>0.86021726835915413</v>
      </c>
      <c r="J12" s="521">
        <f>IF(ISNUMBER((('Resol  Asuntos'!D12/NºAsuntos!G12)-Datos!BF12)/Datos!BF12),(('Resol  Asuntos'!D12/NºAsuntos!G12)-Datos!BF12)/Datos!BF12," - ")</f>
        <v>-0.46544682895579759</v>
      </c>
      <c r="K12" s="522">
        <f>IF(ISNUMBER((((NºAsuntos!C12+NºAsuntos!E12)/NºAsuntos!G12)-Datos!BG12)/Datos!BG12),(((NºAsuntos!C12+NºAsuntos!E12)/NºAsuntos!G12)-Datos!BG12)/Datos!BG12," - ")</f>
        <v>0.15247369261488755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2.0263424518743668E-2</v>
      </c>
      <c r="C14" s="1152">
        <f>IF(ISNUMBER(
   IF(J_V="SI",(Datos!J14-Datos!T14)/Datos!T14,(Datos!J14+Datos!Z14-(Datos!T14+Datos!AH14))/(Datos!T14+Datos!AH14))
     ),IF(J_V="SI",(Datos!J14-Datos!T14)/Datos!T14,(Datos!J14+Datos!Z14-(Datos!T14+Datos!AH14))/(Datos!T14+Datos!AH14))," - ")</f>
        <v>-8.6372360844529754E-3</v>
      </c>
      <c r="D14" s="1152">
        <f>IF(ISNUMBER(
   IF(J_V="SI",(Datos!K14-Datos!U14)/Datos!U14,(Datos!K14+Datos!AA14-(Datos!U14+Datos!AI14))/(Datos!U14+Datos!AI14))
     ),IF(J_V="SI",(Datos!K14-Datos!U14)/Datos!U14,(Datos!K14+Datos!AA14-(Datos!U14+Datos!AI14))/(Datos!U14+Datos!AI14))," - ")</f>
        <v>-0.13468992248062014</v>
      </c>
      <c r="E14" s="1152">
        <f>IF(ISNUMBER(
   IF(J_V="SI",(Datos!L14-Datos!V14)/Datos!V14,(Datos!L14+Datos!AB14-(Datos!V14+Datos!AJ14))/(Datos!V14+Datos!AJ14))
     ),IF(J_V="SI",(Datos!L14-Datos!V14)/Datos!V14,(Datos!L14+Datos!AB14-(Datos!V14+Datos!AJ14))/(Datos!V14+Datos!AJ14))," - ")</f>
        <v>0.62264150943396224</v>
      </c>
      <c r="F14" s="1153">
        <f>IF(ISNUMBER((Datos!M14-Datos!W14)/Datos!W14),(Datos!M14-Datos!W14)/Datos!W14," - ")</f>
        <v>-0.13333333333333333</v>
      </c>
      <c r="G14" s="1154">
        <f>IF(ISNUMBER((Datos!N14-Datos!X14)/Datos!X14),(Datos!N14-Datos!X14)/Datos!X14," - ")</f>
        <v>5.9523809523809521E-3</v>
      </c>
      <c r="H14" s="1154">
        <f>IF(ISNUMBER(((NºAsuntos!G14/NºAsuntos!E14)-Datos!BD14)/Datos!BD14),((NºAsuntos!G14/NºAsuntos!E14)-Datos!BD14)/Datos!BD14," - ")</f>
        <v>-0.12715091890107083</v>
      </c>
      <c r="I14" s="1154">
        <f>IF(ISNUMBER(((NºAsuntos!I14/NºAsuntos!G14)-Datos!BE14)/Datos!BE14),((NºAsuntos!I14/NºAsuntos!G14)-Datos!BE14)/Datos!BE14," - ")</f>
        <v>0.87521392803566533</v>
      </c>
      <c r="J14" s="1154">
        <f>IF(ISNUMBER((('Resol  Asuntos'!D14/NºAsuntos!G14)-Datos!BF14)/Datos!BF14),(('Resol  Asuntos'!D14/NºAsuntos!G14)-Datos!BF14)/Datos!BF14," - ")</f>
        <v>-0.46344584866421373</v>
      </c>
      <c r="K14" s="1154">
        <f>IF(ISNUMBER((((NºAsuntos!C14+NºAsuntos!E14)/NºAsuntos!G14)-Datos!BG14)/Datos!BG14),(((NºAsuntos!C14+NºAsuntos!E14)/NºAsuntos!G14)-Datos!BG14)/Datos!BG14," - ")</f>
        <v>0.15640771979902296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-5.0974512743628186E-2</v>
      </c>
      <c r="C17" s="515">
        <f>IF(ISNUMBER(
   IF(D_I="SI",(Datos!J17-Datos!T17)/Datos!T17,(Datos!J17+Datos!AD17-(Datos!T17+Datos!AL17))/(Datos!T17+Datos!AL17))
     ),IF(D_I="SI",(Datos!J17-Datos!T17)/Datos!T17,(Datos!J17+Datos!AD17-(Datos!T17+Datos!AL17))/(Datos!T17+Datos!AL17))," - ")</f>
        <v>2.7152831652443754E-2</v>
      </c>
      <c r="D17" s="515">
        <f>IF(ISNUMBER(
   IF(D_I="SI",(Datos!K17-Datos!U17)/Datos!U17,(Datos!K17+Datos!AE17-(Datos!U17+Datos!AM17))/(Datos!U17+Datos!AM17))
     ),IF(D_I="SI",(Datos!K17-Datos!U17)/Datos!U17,(Datos!K17+Datos!AE17-(Datos!U17+Datos!AM17))/(Datos!U17+Datos!AM17))," - ")</f>
        <v>7.6569678407350692E-4</v>
      </c>
      <c r="E17" s="515">
        <f>IF(ISNUMBER(
   IF(D_I="SI",(Datos!L17-Datos!V17)/Datos!V17,(Datos!L17+Datos!AF17-(Datos!V17+Datos!AN17))/(Datos!V17+Datos!AN17))
     ),IF(D_I="SI",(Datos!L17-Datos!V17)/Datos!V17,(Datos!L17+Datos!AF17-(Datos!V17+Datos!AN17))/(Datos!V17+Datos!AN17))," - ")</f>
        <v>-7.266982622432859E-2</v>
      </c>
      <c r="F17" s="515">
        <f>IF(ISNUMBER((Datos!M17-Datos!W17)/Datos!W17),(Datos!M17-Datos!W17)/Datos!W17," - ")</f>
        <v>-0.16388888888888889</v>
      </c>
      <c r="G17" s="516">
        <f>IF(ISNUMBER((Datos!N17-Datos!X17)/Datos!X17),(Datos!N17-Datos!X17)/Datos!X17," - ")</f>
        <v>9.3203883495145634E-2</v>
      </c>
      <c r="H17" s="514">
        <f>IF(ISNUMBER(((NºAsuntos!G17/NºAsuntos!E17)-Datos!BD17)/Datos!BD17),((NºAsuntos!G17/NºAsuntos!E17)-Datos!BD17)/Datos!BD17," - ")</f>
        <v>-2.5689589762333383E-2</v>
      </c>
      <c r="I17" s="515">
        <f>IF(ISNUMBER(((NºAsuntos!I17/NºAsuntos!G17)-Datos!BE17)/Datos!BE17),((NºAsuntos!I17/NºAsuntos!G17)-Datos!BE17)/Datos!BE17," - ")</f>
        <v>-7.3379336686283936E-2</v>
      </c>
      <c r="J17" s="521">
        <f>IF(ISNUMBER((('Resol  Asuntos'!D17/NºAsuntos!G17)-Datos!BF17)/Datos!BF17),(('Resol  Asuntos'!D17/NºAsuntos!G17)-Datos!BF17)/Datos!BF17," - ")</f>
        <v>-0.1645286066479639</v>
      </c>
      <c r="K17" s="522">
        <f>IF(ISNUMBER((((NºAsuntos!C17+NºAsuntos!E17)/NºAsuntos!G17)-Datos!BG17)/Datos!BG17),(((NºAsuntos!C17+NºAsuntos!E17)/NºAsuntos!G17)-Datos!BG17)/Datos!BG17," - ")</f>
        <v>1.0320391680214236E-2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-3.3653846153846152E-2</v>
      </c>
      <c r="D18" s="515">
        <f>IF(ISNUMBER(
   IF(D_I="SI",(Datos!K18-Datos!U18)/Datos!U18,(Datos!K18+Datos!AE18-(Datos!U18+Datos!AM18))/(Datos!U18+Datos!AM18))
     ),IF(D_I="SI",(Datos!K18-Datos!U18)/Datos!U18,(Datos!K18+Datos!AE18-(Datos!U18+Datos!AM18))/(Datos!U18+Datos!AM18))," - ")</f>
        <v>-8.7804878048780483E-2</v>
      </c>
      <c r="E18" s="515">
        <f>IF(ISNUMBER(
   IF(D_I="SI",(Datos!L18-Datos!V18)/Datos!V18,(Datos!L18+Datos!AF18-(Datos!V18+Datos!AN18))/(Datos!V18+Datos!AN18))
     ),IF(D_I="SI",(Datos!L18-Datos!V18)/Datos!V18,(Datos!L18+Datos!AF18-(Datos!V18+Datos!AN18))/(Datos!V18+Datos!AN18))," - ")</f>
        <v>2.5714285714285716</v>
      </c>
      <c r="F18" s="515">
        <f>IF(ISNUMBER((Datos!M18-Datos!W18)/Datos!W18),(Datos!M18-Datos!W18)/Datos!W18," - ")</f>
        <v>-0.29411764705882354</v>
      </c>
      <c r="G18" s="516">
        <f>IF(ISNUMBER((Datos!N18-Datos!X18)/Datos!X18),(Datos!N18-Datos!X18)/Datos!X18," - ")</f>
        <v>-0.38797814207650272</v>
      </c>
      <c r="H18" s="514">
        <f>IF(ISNUMBER(((NºAsuntos!G18/NºAsuntos!E18)-Datos!BD18)/Datos!BD18),((NºAsuntos!G18/NºAsuntos!E18)-Datos!BD18)/Datos!BD18," - ")</f>
        <v>-5.6036888727096293E-2</v>
      </c>
      <c r="I18" s="515">
        <f>IF(ISNUMBER(((NºAsuntos!I18/NºAsuntos!G18)-Datos!BE18)/Datos!BE18),((NºAsuntos!I18/NºAsuntos!G18)-Datos!BE18)/Datos!BE18," - ")</f>
        <v>2.9152024446142093</v>
      </c>
      <c r="J18" s="521">
        <f>IF(ISNUMBER((('Resol  Asuntos'!D18/NºAsuntos!G18)-Datos!BF18)/Datos!BF18),(('Resol  Asuntos'!D18/NºAsuntos!G18)-Datos!BF18)/Datos!BF18," - ")</f>
        <v>-0.22617175212330917</v>
      </c>
      <c r="K18" s="522">
        <f>IF(ISNUMBER((((NºAsuntos!C18+NºAsuntos!E18)/NºAsuntos!G18)-Datos!BG18)/Datos!BG18),(((NºAsuntos!C18+NºAsuntos!E18)/NºAsuntos!G18)-Datos!BG18)/Datos!BG18," - ")</f>
        <v>7.5572596105337481E-2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-4.6199701937406856E-2</v>
      </c>
      <c r="C23" s="1152">
        <f>IF(ISNUMBER(
   IF(Criterios!B14="SI",(Datos!J23-Datos!T23)/Datos!T23,(Datos!J23+Datos!AD23-(Datos!T23+Datos!AL23))/(Datos!T23+Datos!AL23))
     ),IF(Criterios!B14="SI",(Datos!J23-Datos!T23)/Datos!T23,(Datos!J23+Datos!AD23-(Datos!T23+Datos!AL23))/(Datos!T23+Datos!AL23))," - ")</f>
        <v>2.2613065326633167E-2</v>
      </c>
      <c r="D23" s="1152">
        <f>IF(ISNUMBER(
   IF(Criterios!B14="SI",(Datos!K23-Datos!U23)/Datos!U23,(Datos!K23+Datos!AE23-(Datos!U23+Datos!AM23))/(Datos!U23+Datos!AM23))
     ),IF(Criterios!B14="SI",(Datos!K23-Datos!U23)/Datos!U23,(Datos!K23+Datos!AE23-(Datos!U23+Datos!AM23))/(Datos!U23+Datos!AM23))," - ")</f>
        <v>-5.6798012069577564E-3</v>
      </c>
      <c r="E23" s="1152">
        <f>IF(ISNUMBER(
   IF(Criterios!B14="SI",(Datos!L23-Datos!V23)/Datos!V23,(Datos!L23+Datos!AF23-(Datos!V23+Datos!AN23))/(Datos!V23+Datos!AN23))
     ),IF(Criterios!B14="SI",(Datos!L23-Datos!V23)/Datos!V23,(Datos!L23+Datos!AF23-(Datos!V23+Datos!AN23))/(Datos!V23+Datos!AN23))," - ")</f>
        <v>-4.3749999999999997E-2</v>
      </c>
      <c r="F23" s="1153">
        <f>IF(ISNUMBER((Datos!M23-Datos!W23)/Datos!W23),(Datos!M23-Datos!W23)/Datos!W23," - ")</f>
        <v>-0.16976127320954906</v>
      </c>
      <c r="G23" s="1154">
        <f>IF(ISNUMBER((Datos!N23-Datos!X23)/Datos!X23),(Datos!N23-Datos!X23)/Datos!X23," - ")</f>
        <v>4.2245370370370371E-2</v>
      </c>
      <c r="H23" s="1154">
        <f>IF(ISNUMBER(((NºAsuntos!G23/NºAsuntos!E23)-Datos!BD23)/Datos!BD23),((NºAsuntos!G23/NºAsuntos!E23)-Datos!BD23)/Datos!BD23," - ")</f>
        <v>-2.7667225750292773E-2</v>
      </c>
      <c r="I23" s="1154">
        <f>IF(ISNUMBER(((NºAsuntos!I23/NºAsuntos!G23)-Datos!BE23)/Datos!BE23),((NºAsuntos!I23/NºAsuntos!G23)-Datos!BE23)/Datos!BE23," - ")</f>
        <v>-3.8287665119600203E-2</v>
      </c>
      <c r="J23" s="1154">
        <f>IF(ISNUMBER((('Resol  Asuntos'!D23/NºAsuntos!G23)-Datos!BF23)/Datos!BF23),(('Resol  Asuntos'!D23/NºAsuntos!G23)-Datos!BF23)/Datos!BF23," - ")</f>
        <v>-0.16501874567343786</v>
      </c>
      <c r="K23" s="1154">
        <f>IF(ISNUMBER((((NºAsuntos!C23+NºAsuntos!E23)/NºAsuntos!G23)-Datos!BG23)/Datos!BG23),(((NºAsuntos!C23+NºAsuntos!E23)/NºAsuntos!G23)-Datos!BG23)/Datos!BG23," - ")</f>
        <v>1.5021702340490229E-2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-6.6344993968636915E-3</v>
      </c>
      <c r="C31" s="1092">
        <f>IF(ISNUMBER(
   IF(J_V="SI",(Datos!J31-Datos!T31)/Datos!T31,(Datos!J31+Datos!Z31-(Datos!T31+Datos!AH31))/(Datos!T31+Datos!AH31))
     ),IF(J_V="SI",(Datos!J31-Datos!T31)/Datos!T31,(Datos!J31+Datos!Z31-(Datos!T31+Datos!AH31))/(Datos!T31+Datos!AH31))," - ")</f>
        <v>9.2402464065708418E-3</v>
      </c>
      <c r="D31" s="1092">
        <f>IF(ISNUMBER(
   IF(J_V="SI",(Datos!K31-Datos!U31)/Datos!U31,(Datos!K31+Datos!AA31-(Datos!U31+Datos!AI31))/(Datos!U31+Datos!AI31))
     ),IF(J_V="SI",(Datos!K31-Datos!U31)/Datos!U31,(Datos!K31+Datos!AA31-(Datos!U31+Datos!AI31))/(Datos!U31+Datos!AI31))," - ")</f>
        <v>-6.0233558696988321E-2</v>
      </c>
      <c r="E31" s="1092">
        <f>IF(ISNUMBER(
   IF(J_V="SI",(Datos!L31-Datos!V31)/Datos!V31,(Datos!L31+Datos!AB31-(Datos!V31+Datos!AJ31))/(Datos!V31+Datos!AJ31))
     ),IF(J_V="SI",(Datos!L31-Datos!V31)/Datos!V31,(Datos!L31+Datos!AB31-(Datos!V31+Datos!AJ31))/(Datos!V31+Datos!AJ31))," - ")</f>
        <v>0.36369156041287187</v>
      </c>
      <c r="F31" s="1093">
        <f>IF(ISNUMBER((Datos!M31-Datos!W31)/Datos!W31),(Datos!M31-Datos!W31)/Datos!W31," - ")</f>
        <v>-0.14993954050785974</v>
      </c>
      <c r="G31" s="1094">
        <f>IF(ISNUMBER((Datos!N31-Datos!X31)/Datos!X31),(Datos!N31-Datos!X31)/Datos!X31," - ")</f>
        <v>3.0373831775700934E-2</v>
      </c>
      <c r="H31" s="1095">
        <f>IF(ISNUMBER((Tasas!B31-Datos!BD31)/Datos!BD31),(Tasas!B31-Datos!BD31)/Datos!BD31," - ")</f>
        <v>-6.883772753903003E-2</v>
      </c>
      <c r="I31" s="1096">
        <f>IF(ISNUMBER((Tasas!C31-Datos!BE31)/Datos!BE31),(Tasas!C31-Datos!BE31)/Datos!BE31," - ")</f>
        <v>0.45109625166235606</v>
      </c>
      <c r="J31" s="1097">
        <f>IF(ISNUMBER((Tasas!D31-Datos!BF31)/Datos!BF31),(Tasas!D31-Datos!BF31)/Datos!BF31," - ")</f>
        <v>-0.38532604110183133</v>
      </c>
      <c r="K31" s="1097">
        <f>IF(ISNUMBER((Tasas!E31-Datos!BG31)/Datos!BG31),(Tasas!E31-Datos!BG31)/Datos!BG31," - ")</f>
        <v>6.9636336385437161E-2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2nMGziw/a4K7ScMZqZx252DDjmMZZCwspMy6gmH0OCJnffmMrLRIivjzraDMtpJXzTkFi6JTFc+4F+Fd7MmkQ==" saltValue="Cn09wrUzBXUklgdm/hiD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RONDA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0.22222222222222221</v>
      </c>
      <c r="C10" s="498">
        <f>IF(ISNUMBER(NºAsuntos!I10/NºAsuntos!G10),NºAsuntos!I10/NºAsuntos!G10," - ")</f>
        <v>3.5</v>
      </c>
      <c r="D10" s="499">
        <f>IF(ISNUMBER('Resol  Asuntos'!D10/NºAsuntos!G10),'Resol  Asuntos'!D10/NºAsuntos!G10," - ")</f>
        <v>0</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0.86728245017015071</v>
      </c>
      <c r="C12" s="498">
        <f>IF(ISNUMBER(NºAsuntos!I12/NºAsuntos!G12),NºAsuntos!I12/NºAsuntos!G12," - ")</f>
        <v>0.91199551569506732</v>
      </c>
      <c r="D12" s="499">
        <f>IF(ISNUMBER('Resol  Asuntos'!D12/NºAsuntos!G12),'Resol  Asuntos'!D12/NºAsuntos!G12," - ")</f>
        <v>0.21860986547085201</v>
      </c>
      <c r="E12" s="500">
        <f>IF(ISNUMBER((NºAsuntos!C12+NºAsuntos!E12)/NºAsuntos!G12),(NºAsuntos!C12+NºAsuntos!E12)/NºAsuntos!G12," - ")</f>
        <v>1.7174887892376682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0.86447241045498546</v>
      </c>
      <c r="C14" s="1156">
        <f>IF(ISNUMBER(NºAsuntos!I14/NºAsuntos!G14),NºAsuntos!I14/NºAsuntos!G14," - ")</f>
        <v>0.91489361702127658</v>
      </c>
      <c r="D14" s="1157">
        <f>IF(ISNUMBER('Resol  Asuntos'!D14/NºAsuntos!G14),'Resol  Asuntos'!D14/NºAsuntos!G14," - ")</f>
        <v>0.21836506159014557</v>
      </c>
      <c r="E14" s="1158">
        <f>IF(ISNUMBER((NºAsuntos!C14+NºAsuntos!E14)/NºAsuntos!G14),(NºAsuntos!C14+NºAsuntos!E14)/NºAsuntos!G14," - ")</f>
        <v>1.7206047032474805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0.98716012084592142</v>
      </c>
      <c r="C17" s="498">
        <f>IF(ISNUMBER(NºAsuntos!I17/NºAsuntos!G17),NºAsuntos!I17/NºAsuntos!G17," - ")</f>
        <v>0.22456006120887528</v>
      </c>
      <c r="D17" s="499">
        <f>IF(ISNUMBER('Resol  Asuntos'!D17/NºAsuntos!G17),'Resol  Asuntos'!D17/NºAsuntos!G17," - ")</f>
        <v>0.11514919663351186</v>
      </c>
      <c r="E17" s="500">
        <f>IF(ISNUMBER((NºAsuntos!C17+NºAsuntos!E17)/NºAsuntos!G17),(NºAsuntos!C17+NºAsuntos!E17)/NºAsuntos!G17," - ")</f>
        <v>1.2551644988523336</v>
      </c>
      <c r="G17" s="523"/>
    </row>
    <row r="18" spans="1:7">
      <c r="A18" s="450" t="str">
        <f>Datos!A18</f>
        <v>Jdos. Violencia contra la mujer</v>
      </c>
      <c r="B18" s="497">
        <f>IF(ISNUMBER(NºAsuntos!G18/NºAsuntos!E18),NºAsuntos!G18/NºAsuntos!E18," - ")</f>
        <v>0.93034825870646765</v>
      </c>
      <c r="C18" s="498">
        <f>IF(ISNUMBER(NºAsuntos!I18/NºAsuntos!G18),NºAsuntos!I18/NºAsuntos!G18," - ")</f>
        <v>0.13368983957219252</v>
      </c>
      <c r="D18" s="499">
        <f>IF(ISNUMBER('Resol  Asuntos'!D18/NºAsuntos!G18),'Resol  Asuntos'!D18/NºAsuntos!G18," - ")</f>
        <v>6.4171122994652413E-2</v>
      </c>
      <c r="E18" s="500">
        <f>IF(ISNUMBER((NºAsuntos!C18+NºAsuntos!E18)/NºAsuntos!G18),(NºAsuntos!C18+NºAsuntos!E18)/NºAsuntos!G18," - ")</f>
        <v>1.1122994652406417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0.98315198315198316</v>
      </c>
      <c r="C23" s="1156">
        <f>IF(ISNUMBER(NºAsuntos!I23/NºAsuntos!G23),NºAsuntos!I23/NºAsuntos!G23," - ")</f>
        <v>0.21849339521599428</v>
      </c>
      <c r="D23" s="1159">
        <f>IF(ISNUMBER('Resol  Asuntos'!D23/NºAsuntos!G23),'Resol  Asuntos'!D23/NºAsuntos!G23," - ")</f>
        <v>0.111745805069618</v>
      </c>
      <c r="E23" s="1158">
        <f>IF(ISNUMBER((NºAsuntos!C23+NºAsuntos!E23)/NºAsuntos!G23),(NºAsuntos!C23+NºAsuntos!E23)/NºAsuntos!G23," - ")</f>
        <v>1.2456265619421636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0.933265513733469</v>
      </c>
      <c r="C31" s="1099">
        <f>IF(ISNUMBER(NºAsuntos!I31/NºAsuntos!G31),NºAsuntos!I31/NºAsuntos!G31," - ")</f>
        <v>0.4896446479180292</v>
      </c>
      <c r="D31" s="1100">
        <f>IF(ISNUMBER('Resol  Asuntos'!D31/NºAsuntos!G31),'Resol  Asuntos'!D31/NºAsuntos!G31," - ")</f>
        <v>0.15325921081316765</v>
      </c>
      <c r="E31" s="1101">
        <f>IF(ISNUMBER((NºAsuntos!C31+NºAsuntos!E31)/NºAsuntos!G31),(NºAsuntos!C31+NºAsuntos!E31)/NºAsuntos!G31," - ")</f>
        <v>1.4305646391977327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w7c7ux8WuFEzz8F5qB5Hujm4YZRF4pCEXglSmnsX92wEDb1XioDhCozhg4YlbVt0LsOHfry4IylLmVUkXKvMg==" saltValue="JxovZ50Ika3z4WQTa5iG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RONDA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0.22222222222222221</v>
      </c>
      <c r="AM10" s="284">
        <f>IF(ISNUMBER(((NºAsuntos!I10/NºAsuntos!G10)*11)/factor_trimestre),((NºAsuntos!I10/NºAsuntos!G10)*11)/factor_trimestre," - ")</f>
        <v>38.5</v>
      </c>
      <c r="AN10" s="267">
        <f>IF(ISNUMBER('Resol  Asuntos'!D10/NºAsuntos!G10),'Resol  Asuntos'!D10/NºAsuntos!G10," - ")</f>
        <v>0</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263</v>
      </c>
      <c r="Y12" s="374">
        <f t="shared" si="0"/>
        <v>263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390</v>
      </c>
      <c r="AJ12" s="243" t="str">
        <f>IF(ISNUMBER(Datos!BW12),Datos!BW12," - ")</f>
        <v xml:space="preserve"> - </v>
      </c>
      <c r="AK12" s="242" t="str">
        <f>IF(ISNUMBER(Datos!BX12),Datos!BX12," - ")</f>
        <v xml:space="preserve"> - </v>
      </c>
      <c r="AL12" s="266">
        <f>IF(ISNUMBER(NºAsuntos!G12/NºAsuntos!E12),NºAsuntos!G12/NºAsuntos!E12," - ")</f>
        <v>0.86728245017015071</v>
      </c>
      <c r="AM12" s="284">
        <f>IF(ISNUMBER(((NºAsuntos!I12/NºAsuntos!G12)*11)/factor_trimestre),((NºAsuntos!I12/NºAsuntos!G12)*11)/factor_trimestre," - ")</f>
        <v>10.03195067264574</v>
      </c>
      <c r="AN12" s="267">
        <f>IF(ISNUMBER('Resol  Asuntos'!D12/NºAsuntos!G12),'Resol  Asuntos'!D12/NºAsuntos!G12," - ")</f>
        <v>0.21860986547085201</v>
      </c>
      <c r="AO12" s="268">
        <f>IF(ISNUMBER((NºAsuntos!C12+NºAsuntos!E12)/NºAsuntos!G12),(NºAsuntos!C12+NºAsuntos!E12)/NºAsuntos!G12," - ")</f>
        <v>1.7174887892376682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425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263</v>
      </c>
      <c r="Y14" s="1165">
        <f t="shared" si="6"/>
        <v>265</v>
      </c>
      <c r="Z14" s="1165">
        <f t="shared" si="6"/>
        <v>0</v>
      </c>
      <c r="AA14" s="1165">
        <f t="shared" si="6"/>
        <v>7</v>
      </c>
      <c r="AB14" s="1165">
        <f t="shared" si="6"/>
        <v>2078</v>
      </c>
      <c r="AC14" s="1165">
        <f t="shared" si="6"/>
        <v>7</v>
      </c>
      <c r="AD14" s="1165">
        <f t="shared" si="6"/>
        <v>0</v>
      </c>
      <c r="AE14" s="1169">
        <f t="shared" si="6"/>
        <v>0</v>
      </c>
      <c r="AF14" s="1162">
        <f t="shared" si="6"/>
        <v>0</v>
      </c>
      <c r="AG14" s="1170">
        <f t="shared" si="6"/>
        <v>0</v>
      </c>
      <c r="AH14" s="1167">
        <f t="shared" si="6"/>
        <v>0</v>
      </c>
      <c r="AI14" s="1162">
        <f t="shared" si="6"/>
        <v>390</v>
      </c>
      <c r="AJ14" s="1164">
        <f t="shared" si="6"/>
        <v>0</v>
      </c>
      <c r="AK14" s="1167">
        <f>SUBTOTAL(9,AK9:AK13)</f>
        <v>0</v>
      </c>
      <c r="AL14" s="1171">
        <f>IF(ISNUMBER(NºAsuntos!G14/NºAsuntos!E14),NºAsuntos!G14/NºAsuntos!E14," - ")</f>
        <v>0.86447241045498546</v>
      </c>
      <c r="AM14" s="1171">
        <f>IF(ISNUMBER(((NºAsuntos!I14/NºAsuntos!G14)*11)/factor_trimestre),((NºAsuntos!I14/NºAsuntos!G14)*11)/factor_trimestre," - ")</f>
        <v>10.063829787234042</v>
      </c>
      <c r="AN14" s="1172">
        <f>IF(ISNUMBER('Resol  Asuntos'!D14/NºAsuntos!G14),'Resol  Asuntos'!D14/NºAsuntos!G14," - ")</f>
        <v>0.21836506159014557</v>
      </c>
      <c r="AO14" s="1173">
        <f>IF(ISNUMBER((NºAsuntos!C14+NºAsuntos!E14)/NºAsuntos!G14),(NºAsuntos!C14+NºAsuntos!E14)/NºAsuntos!G14," - ")</f>
        <v>1.7206047032474805</v>
      </c>
      <c r="AP14" s="1174" t="str">
        <f t="shared" si="2"/>
        <v xml:space="preserve"> - </v>
      </c>
      <c r="AQ14" s="1174" t="str">
        <f>IF(ISNUMBER((H14-W14+K14)/(F14)),(H14-W14+K14)/(F14)," - ")</f>
        <v xml:space="preserve"> - </v>
      </c>
      <c r="AR14" s="1175">
        <f>IF(ISNUMBER((Datos!P14-Datos!Q14)/(Datos!R14-Datos!P14+Datos!Q14)),(Datos!P14-Datos!Q14)/(Datos!R14-Datos!P14+Datos!Q14)," - ")</f>
        <v>8.4551148225469733E-2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553</v>
      </c>
      <c r="G17" s="373">
        <f>IF(ISNUMBER(IF(D_I="SI",Datos!I17,Datos!I17+Datos!AC17)),IF(D_I="SI",Datos!I17,Datos!I17+Datos!AC17)," - ")</f>
        <v>633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2614</v>
      </c>
      <c r="X17" s="240">
        <f>IF(ISNUMBER(Datos!Q17),Datos!Q17," - ")</f>
        <v>175</v>
      </c>
      <c r="Y17" s="374">
        <f t="shared" ref="Y17:Y22" si="9">SUM(W17:X17)</f>
        <v>2789</v>
      </c>
      <c r="Z17" s="375" t="str">
        <f>IF(ISNUMBER(Datos!CC17),Datos!CC17," - ")</f>
        <v xml:space="preserve"> - </v>
      </c>
      <c r="AA17" s="372">
        <f>IF(ISNUMBER(IF(D_I="SI",Datos!L17,Datos!L17+Datos!AF17)),IF(D_I="SI",Datos!L17,Datos!L17+Datos!AF17)," - ")</f>
        <v>587</v>
      </c>
      <c r="AB17" s="374">
        <f>IF(ISNUMBER(Datos!R17),Datos!R17," - ")</f>
        <v>115</v>
      </c>
      <c r="AC17" s="374">
        <f t="shared" si="8"/>
        <v>702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301</v>
      </c>
      <c r="AJ17" s="245" t="str">
        <f>IF(ISNUMBER(Datos!BW17),Datos!BW17," - ")</f>
        <v xml:space="preserve"> - </v>
      </c>
      <c r="AK17" s="246" t="str">
        <f>IF(ISNUMBER(Datos!BX17),Datos!BX17," - ")</f>
        <v xml:space="preserve"> - </v>
      </c>
      <c r="AL17" s="266">
        <f>IF(ISNUMBER(NºAsuntos!G17/NºAsuntos!E17),NºAsuntos!G17/NºAsuntos!E17," - ")</f>
        <v>0.98716012084592142</v>
      </c>
      <c r="AM17" s="284">
        <f>IF(ISNUMBER(((NºAsuntos!I17/NºAsuntos!G17)*11)/factor_trimestre),((NºAsuntos!I17/NºAsuntos!G17)*11)/factor_trimestre," - ")</f>
        <v>2.4701606732976282</v>
      </c>
      <c r="AN17" s="267">
        <f>IF(ISNUMBER('Resol  Asuntos'!D17/NºAsuntos!G17),'Resol  Asuntos'!D17/NºAsuntos!G17," - ")</f>
        <v>0.11514919663351186</v>
      </c>
      <c r="AO17" s="268">
        <f>IF(ISNUMBER((NºAsuntos!C17+NºAsuntos!E17)/NºAsuntos!G17),(NºAsuntos!C17+NºAsuntos!E17)/NºAsuntos!G17," - ")</f>
        <v>1.2551644988523336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187</v>
      </c>
      <c r="X18" s="240">
        <f>IF(ISNUMBER(Datos!Q18),Datos!Q18," - ")</f>
        <v>27</v>
      </c>
      <c r="Y18" s="374">
        <f t="shared" si="9"/>
        <v>214</v>
      </c>
      <c r="Z18" s="375" t="str">
        <f>IF(ISNUMBER(Datos!CC18),Datos!CC18," - ")</f>
        <v xml:space="preserve"> - </v>
      </c>
      <c r="AA18" s="372">
        <f>IF(ISNUMBER(Datos!L18),Datos!L18,"-")</f>
        <v>25</v>
      </c>
      <c r="AB18" s="374">
        <f>IF(ISNUMBER(Datos!R18),Datos!R18," - ")</f>
        <v>3</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0.93034825870646765</v>
      </c>
      <c r="AM18" s="284">
        <f>IF(ISNUMBER(((NºAsuntos!I18/NºAsuntos!G18)*11)/factor_trimestre),((NºAsuntos!I18/NºAsuntos!G18)*11)/factor_trimestre," - ")</f>
        <v>1.4705882352941178</v>
      </c>
      <c r="AN18" s="267">
        <f>IF(ISNUMBER('Resol  Asuntos'!D18/NºAsuntos!G18),'Resol  Asuntos'!D18/NºAsuntos!G18," - ")</f>
        <v>6.4171122994652413E-2</v>
      </c>
      <c r="AO18" s="268">
        <f>IF(ISNUMBER((NºAsuntos!C18+NºAsuntos!E18)/NºAsuntos!G18),(NºAsuntos!C18+NºAsuntos!E18)/NºAsuntos!G18," - ")</f>
        <v>1.1122994652406417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553</v>
      </c>
      <c r="G23" s="1163">
        <f>SUBTOTAL(9,G16:G22)</f>
        <v>640</v>
      </c>
      <c r="H23" s="1162">
        <f t="shared" ref="H23:O23" si="13">SUBTOTAL(9,H15:H22)</f>
        <v>0</v>
      </c>
      <c r="I23" s="1164">
        <f t="shared" si="13"/>
        <v>0</v>
      </c>
      <c r="J23" s="1164">
        <f t="shared" si="13"/>
        <v>0</v>
      </c>
      <c r="K23" s="1164">
        <f t="shared" si="13"/>
        <v>0</v>
      </c>
      <c r="L23" s="1164">
        <f t="shared" si="13"/>
        <v>162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2801</v>
      </c>
      <c r="X23" s="1164">
        <f t="shared" si="14"/>
        <v>202</v>
      </c>
      <c r="Y23" s="1165">
        <f t="shared" si="14"/>
        <v>3003</v>
      </c>
      <c r="Z23" s="1165">
        <f t="shared" si="14"/>
        <v>0</v>
      </c>
      <c r="AA23" s="1165">
        <f t="shared" si="14"/>
        <v>612</v>
      </c>
      <c r="AB23" s="1165">
        <f t="shared" si="14"/>
        <v>118</v>
      </c>
      <c r="AC23" s="1165">
        <f t="shared" si="14"/>
        <v>730</v>
      </c>
      <c r="AD23" s="1165">
        <f t="shared" si="14"/>
        <v>0</v>
      </c>
      <c r="AE23" s="1169">
        <f t="shared" si="14"/>
        <v>0</v>
      </c>
      <c r="AF23" s="1162">
        <f t="shared" si="14"/>
        <v>0</v>
      </c>
      <c r="AG23" s="1170">
        <f t="shared" si="14"/>
        <v>0</v>
      </c>
      <c r="AH23" s="1167">
        <f t="shared" si="14"/>
        <v>0</v>
      </c>
      <c r="AI23" s="1162">
        <f t="shared" si="14"/>
        <v>313</v>
      </c>
      <c r="AJ23" s="1164">
        <f t="shared" si="14"/>
        <v>0</v>
      </c>
      <c r="AK23" s="1167">
        <f t="shared" si="14"/>
        <v>0</v>
      </c>
      <c r="AL23" s="1171">
        <f>IF(ISNUMBER(NºAsuntos!G23/NºAsuntos!E23),NºAsuntos!G23/NºAsuntos!E23," - ")</f>
        <v>0.98315198315198316</v>
      </c>
      <c r="AM23" s="1171">
        <f>IF(ISNUMBER(((NºAsuntos!I23/NºAsuntos!G23)*11)/factor_trimestre),((NºAsuntos!I23/NºAsuntos!G23)*11)/factor_trimestre," - ")</f>
        <v>2.4034273473759371</v>
      </c>
      <c r="AN23" s="1172">
        <f>IF(ISNUMBER('Resol  Asuntos'!D23/NºAsuntos!G23),'Resol  Asuntos'!D23/NºAsuntos!G23," - ")</f>
        <v>0.111745805069618</v>
      </c>
      <c r="AO23" s="1173">
        <f>IF(ISNUMBER((NºAsuntos!C23+NºAsuntos!E23)/NºAsuntos!G23),(NºAsuntos!C23+NºAsuntos!E23)/NºAsuntos!G23," - ")</f>
        <v>1.2456265619421636</v>
      </c>
      <c r="AP23" s="1174" t="str">
        <f t="shared" si="2"/>
        <v xml:space="preserve"> - </v>
      </c>
      <c r="AQ23" s="1174">
        <f>IF(ISNUMBER((H23-W23+K23)/(F23)),(H23-W23+K23)/(F23)," - ")</f>
        <v>-5.0650994575045205</v>
      </c>
      <c r="AR23" s="1175">
        <f>IF(ISNUMBER((Datos!P23-Datos!Q23)/(Datos!R23-Datos!P23+Datos!Q23)),(Datos!P23-Datos!Q23)/(Datos!R23-Datos!P23+Datos!Q23)," - ")</f>
        <v>-0.25316455696202533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553</v>
      </c>
      <c r="G31" s="1118">
        <f t="shared" si="20"/>
        <v>640</v>
      </c>
      <c r="H31" s="1117">
        <f t="shared" si="20"/>
        <v>0</v>
      </c>
      <c r="I31" s="1119">
        <f t="shared" si="20"/>
        <v>0</v>
      </c>
      <c r="J31" s="1119">
        <f t="shared" si="20"/>
        <v>0</v>
      </c>
      <c r="K31" s="1180">
        <f t="shared" si="20"/>
        <v>0</v>
      </c>
      <c r="L31" s="1119">
        <f t="shared" si="20"/>
        <v>587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2803</v>
      </c>
      <c r="X31" s="1118">
        <f t="shared" si="21"/>
        <v>465</v>
      </c>
      <c r="Y31" s="1125">
        <f t="shared" si="21"/>
        <v>3268</v>
      </c>
      <c r="Z31" s="1125">
        <f t="shared" si="21"/>
        <v>0</v>
      </c>
      <c r="AA31" s="1125">
        <f t="shared" si="21"/>
        <v>619</v>
      </c>
      <c r="AB31" s="1125">
        <f t="shared" si="21"/>
        <v>2196</v>
      </c>
      <c r="AC31" s="1125">
        <f t="shared" si="21"/>
        <v>737</v>
      </c>
      <c r="AD31" s="1125">
        <f t="shared" si="21"/>
        <v>0</v>
      </c>
      <c r="AE31" s="1127">
        <f t="shared" si="21"/>
        <v>0</v>
      </c>
      <c r="AF31" s="1128">
        <f t="shared" si="21"/>
        <v>0</v>
      </c>
      <c r="AG31" s="1129">
        <f t="shared" si="21"/>
        <v>0</v>
      </c>
      <c r="AH31" s="1127">
        <f t="shared" si="21"/>
        <v>0</v>
      </c>
      <c r="AI31" s="1117">
        <f t="shared" si="21"/>
        <v>703</v>
      </c>
      <c r="AJ31" s="1117">
        <f t="shared" si="21"/>
        <v>0</v>
      </c>
      <c r="AK31" s="1127">
        <f t="shared" si="21"/>
        <v>0</v>
      </c>
      <c r="AL31" s="1183">
        <f>IF(ISNUMBER(NºAsuntos!G31/NºAsuntos!E31),NºAsuntos!G31/NºAsuntos!E31," - ")</f>
        <v>0.933265513733469</v>
      </c>
      <c r="AM31" s="1184">
        <f>IF(ISNUMBER(((NºAsuntos!I31/NºAsuntos!G31)*11)/factor_trimestre),((NºAsuntos!I31/NºAsuntos!G31)*11)/factor_trimestre," - ")</f>
        <v>5.3860911270983216</v>
      </c>
      <c r="AN31" s="1184">
        <f>IF(ISNUMBER('Resol  Asuntos'!D31/NºAsuntos!G31),'Resol  Asuntos'!D31/NºAsuntos!G31," - ")</f>
        <v>0.15325921081316765</v>
      </c>
      <c r="AO31" s="1185">
        <f>IF(ISNUMBER((NºAsuntos!C31+NºAsuntos!E31)/NºAsuntos!G31),(NºAsuntos!C31+NºAsuntos!E31)/NºAsuntos!G31," - ")</f>
        <v>1.4305646391977327</v>
      </c>
      <c r="AP31" s="1186" t="str">
        <f t="shared" si="2"/>
        <v xml:space="preserve"> - </v>
      </c>
      <c r="AQ31" s="1187">
        <f>IF(OR(ISNUMBER(FIND("01",Criterios!A8,1)),ISNUMBER(FIND("02",Criterios!A8,1)),ISNUMBER(FIND("03",Criterios!A8,1)),ISNUMBER(FIND("04",Criterios!A8,1))),(I31-W31+K31)/(F31-K31),(H31-W31+K31)/(F31-K31))</f>
        <v>-5.06871609403255</v>
      </c>
      <c r="AR31" s="1188">
        <f>IF(ISNUMBER((Datos!P31-Datos!Q31)/(Datos!R31-Datos!P31+Datos!Q31)),(Datos!P31-Datos!Q31)/(Datos!R31-Datos!P31+Datos!Q31)," - ")</f>
        <v>5.8823529411764705E-2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285.5679720603602</v>
      </c>
      <c r="G33" s="277">
        <f>IF(ISNUMBER(STDEV(G8:G30)),STDEV(G8:G30),"-")</f>
        <v>309.91419703493665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1305.3715216457765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187.39168299885364</v>
      </c>
      <c r="AJ33" s="276">
        <f t="shared" si="25"/>
        <v>0</v>
      </c>
      <c r="AK33" s="278">
        <f t="shared" si="25"/>
        <v>0</v>
      </c>
      <c r="AL33" s="273">
        <f t="shared" si="25"/>
        <v>0.29243032225719606</v>
      </c>
      <c r="AM33" s="274">
        <f t="shared" si="25"/>
        <v>14.109182549667899</v>
      </c>
      <c r="AN33" s="274">
        <f t="shared" si="25"/>
        <v>8.6020160457699779E-2</v>
      </c>
      <c r="AO33" s="275">
        <f t="shared" si="25"/>
        <v>1.2873362522986007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hAwpHM4FbC2RyYNUhoCFXvdGb4i4KGUHK0bbUc4HKfn3bqIfS4j4vaMRH3IjDEujBA9btGT4SFKyKcAxGLSiw==" saltValue="JclkVIdaUG+F9QbewKfr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RONDA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-0.1</v>
      </c>
      <c r="F10" s="393">
        <f>IF(ISNUMBER((Datos!K10-Datos!U10)/Datos!U10),(Datos!K10-Datos!U10)/Datos!U10," - ")</f>
        <v>-0.8</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-0.13333333333333333</v>
      </c>
      <c r="I12" s="395">
        <f>IF(ISNUMBER((Tasas!C12-Datos!BE12)/Datos!BE12),(Tasas!C12-Datos!BE12)/Datos!BE12," - ")</f>
        <v>0.86021726835915413</v>
      </c>
      <c r="J12" s="394">
        <f>IF(ISNUMBER((Tasas!D12-Datos!BF12)/Datos!BF12),(Tasas!D12-Datos!BF12)/Datos!BF12," - ")</f>
        <v>-0.46544682895579759</v>
      </c>
      <c r="K12" s="396">
        <f>IF(ISNUMBER((Tasas!E12-Datos!BG12)/Datos!BG12),(Tasas!E12-Datos!BG12)/Datos!BG12," - ")</f>
        <v>0.15247369261488755</v>
      </c>
      <c r="M12" t="e">
        <f>IF(Monitorios="SI",Datos!CE12,0)</f>
        <v>#REF!</v>
      </c>
      <c r="N12" t="e">
        <f>IF(Monitorios="SI",Datos!CF12,0)</f>
        <v>#REF!</v>
      </c>
      <c r="O12" t="e">
        <f>IF(Monitorios="SI",Datos!CG12,0)</f>
        <v>#REF!</v>
      </c>
      <c r="P12" t="e">
        <f>IF(Monitorios="SI",Datos!CH12,0)</f>
        <v>#REF!</v>
      </c>
      <c r="Q12">
        <f>IF(J_V="SI",0,Datos!AG12)</f>
        <v>54</v>
      </c>
      <c r="R12">
        <f>IF(J_V="SI",0,Datos!AH12)</f>
        <v>218</v>
      </c>
      <c r="S12">
        <f>IF(J_V="SI",0,Datos!AI12)</f>
        <v>198</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-0.13333333333333333</v>
      </c>
      <c r="I14" s="402">
        <f>IF(ISNUMBER((Tasas!C14-Datos!BE14)/Datos!BE14),(Tasas!C14-Datos!BE14)/Datos!BE14," - ")</f>
        <v>0.87521392803566533</v>
      </c>
      <c r="J14" s="400">
        <f>IF(ISNUMBER((Tasas!D14-Datos!BF14)/Datos!BF14),(Tasas!D14-Datos!BF14)/Datos!BF14," - ")</f>
        <v>-0.46344584866421373</v>
      </c>
      <c r="K14" s="403">
        <f>IF(ISNUMBER((Tasas!E14-Datos!BG14)/Datos!BG14),(Tasas!E14-Datos!BG14)/Datos!BG14," - ")</f>
        <v>0.15640771979902296</v>
      </c>
      <c r="M14" t="e">
        <f>IF(Monitorios="SI",Datos!CE14,0)</f>
        <v>#REF!</v>
      </c>
      <c r="N14" t="e">
        <f>IF(Monitorios="SI",Datos!CF14,0)</f>
        <v>#REF!</v>
      </c>
      <c r="O14" t="e">
        <f>IF(Monitorios="SI",Datos!CG14,0)</f>
        <v>#REF!</v>
      </c>
      <c r="P14" t="e">
        <f>IF(Monitorios="SI",Datos!CH14,0)</f>
        <v>#REF!</v>
      </c>
      <c r="Q14">
        <f>IF(J_V="SI",0,Datos!AG14)</f>
        <v>54</v>
      </c>
      <c r="R14">
        <f>IF(J_V="SI",0,Datos!AH14)</f>
        <v>218</v>
      </c>
      <c r="S14">
        <f>IF(J_V="SI",0,Datos!AI14)</f>
        <v>198</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-5.0974512743628186E-2</v>
      </c>
      <c r="E17" s="393">
        <f>IF(ISNUMBER(
   IF(D_I="SI",(Datos!J17-Datos!T17)/Datos!T17,(Datos!J17+Datos!AD17-(Datos!T17+Datos!AL17))/(Datos!T17+Datos!AL17))
     ),IF(D_I="SI",(Datos!J17-Datos!T17)/Datos!T17,(Datos!J17+Datos!AD17-(Datos!T17+Datos!AL17))/(Datos!T17+Datos!AL17))," - ")</f>
        <v>2.7152831652443754E-2</v>
      </c>
      <c r="F17" s="393">
        <f>IF(ISNUMBER(
   IF(D_I="SI",(Datos!K17-Datos!U17)/Datos!U17,(Datos!K17+Datos!AE17-(Datos!U17+Datos!AM17))/(Datos!U17+Datos!AM17))
     ),IF(D_I="SI",(Datos!K17-Datos!U17)/Datos!U17,(Datos!K17+Datos!AE17-(Datos!U17+Datos!AM17))/(Datos!U17+Datos!AM17))," - ")</f>
        <v>7.6569678407350692E-4</v>
      </c>
      <c r="G17" s="394">
        <f>IF(ISNUMBER(
   IF(D_I="SI",(Datos!L17-Datos!V17)/Datos!V17,(Datos!L17+Datos!AF17-(Datos!V17+Datos!AN17))/(Datos!V17+Datos!AN17))
     ),IF(D_I="SI",(Datos!L17-Datos!V17)/Datos!V17,(Datos!L17+Datos!AF17-(Datos!V17+Datos!AN17))/(Datos!V17+Datos!AN17))," - ")</f>
        <v>-7.266982622432859E-2</v>
      </c>
      <c r="H17" s="244">
        <f>IF(ISNUMBER((Datos!M17-Datos!W17)/Datos!W17),(Datos!M17-Datos!W17)/Datos!W17," - ")</f>
        <v>-0.16388888888888889</v>
      </c>
      <c r="I17" s="395">
        <f>IF(ISNUMBER((Tasas!C17-Datos!BE17)/Datos!BE17),(Tasas!C17-Datos!BE17)/Datos!BE17," - ")</f>
        <v>-7.3379336686283936E-2</v>
      </c>
      <c r="J17" s="394">
        <f>IF(ISNUMBER((Tasas!D17-Datos!BF17)/Datos!BF17),(Tasas!D17-Datos!BF17)/Datos!BF17," - ")</f>
        <v>-0.1645286066479639</v>
      </c>
      <c r="K17" s="396">
        <f>IF(ISNUMBER((Tasas!E17-Datos!BG17)/Datos!BG17),(Tasas!E17-Datos!BG17)/Datos!BG17," - ")</f>
        <v>1.0320391680214236E-2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-3.3653846153846152E-2</v>
      </c>
      <c r="F18" s="393">
        <f>IF(ISNUMBER(
   IF(D_I="SI",(Datos!K18-Datos!U18)/Datos!U18,(Datos!K18+Datos!AE18-(Datos!U18+Datos!AM18))/(Datos!U18+Datos!AM18))
     ),IF(D_I="SI",(Datos!K18-Datos!U18)/Datos!U18,(Datos!K18+Datos!AE18-(Datos!U18+Datos!AM18))/(Datos!U18+Datos!AM18))," - ")</f>
        <v>-8.7804878048780483E-2</v>
      </c>
      <c r="G18" s="394">
        <f>IF(ISNUMBER(
   IF(D_I="SI",(Datos!L18-Datos!V18)/Datos!V18,(Datos!L18+Datos!AF18-(Datos!V18+Datos!AN18))/(Datos!V18+Datos!AN18))
     ),IF(D_I="SI",(Datos!L18-Datos!V18)/Datos!V18,(Datos!L18+Datos!AF18-(Datos!V18+Datos!AN18))/(Datos!V18+Datos!AN18))," - ")</f>
        <v>2.5714285714285716</v>
      </c>
      <c r="H18" s="244">
        <f>IF(ISNUMBER((Datos!M18-Datos!W18)/Datos!W18),(Datos!M18-Datos!W18)/Datos!W18," - ")</f>
        <v>-0.29411764705882354</v>
      </c>
      <c r="I18" s="395">
        <f>IF(ISNUMBER((Tasas!C18-Datos!BE18)/Datos!BE18),(Tasas!C18-Datos!BE18)/Datos!BE18," - ")</f>
        <v>2.9152024446142093</v>
      </c>
      <c r="J18" s="394">
        <f>IF(ISNUMBER((Tasas!D18-Datos!BF18)/Datos!BF18),(Tasas!D18-Datos!BF18)/Datos!BF18," - ")</f>
        <v>-0.22617175212330917</v>
      </c>
      <c r="K18" s="396">
        <f>IF(ISNUMBER((Tasas!E18-Datos!BG18)/Datos!BG18),(Tasas!E18-Datos!BG18)/Datos!BG18," - ")</f>
        <v>7.5572596105337481E-2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-4.6199701937406856E-2</v>
      </c>
      <c r="E23" s="399">
        <f>IF(ISNUMBER(
   IF(D_I="SI",(Datos!J23-Datos!T23)/Datos!T23,(Datos!J23+Datos!AD23-(Datos!T23+Datos!AL23))/(Datos!T23+Datos!AL23))
     ),IF(D_I="SI",(Datos!J23-Datos!T23)/Datos!T23,(Datos!J23+Datos!AD23-(Datos!T23+Datos!AL23))/(Datos!T23+Datos!AL23))," - ")</f>
        <v>2.2613065326633167E-2</v>
      </c>
      <c r="F23" s="399">
        <f>IF(ISNUMBER(
   IF(D_I="SI",(Datos!K23-Datos!U23)/Datos!U23,(Datos!K23+Datos!AE23-(Datos!U23+Datos!AM23))/(Datos!U23+Datos!AM23))
     ),IF(D_I="SI",(Datos!K23-Datos!U23)/Datos!U23,(Datos!K23+Datos!AE23-(Datos!U23+Datos!AM23))/(Datos!U23+Datos!AM23))," - ")</f>
        <v>-5.6798012069577564E-3</v>
      </c>
      <c r="G23" s="400">
        <f>IF(ISNUMBER(
   IF(D_I="SI",(Datos!L23-Datos!V23)/Datos!V23,(Datos!L23+Datos!AF23-(Datos!V23+Datos!AN23))/(Datos!V23+Datos!AN23))
     ),IF(D_I="SI",(Datos!L23-Datos!V23)/Datos!V23,(Datos!L23+Datos!AF23-(Datos!V23+Datos!AN23))/(Datos!V23+Datos!AN23))," - ")</f>
        <v>-4.3749999999999997E-2</v>
      </c>
      <c r="H23" s="401">
        <f>IF(ISNUMBER((Datos!M23-Datos!W23)/Datos!W23),(Datos!M23-Datos!W23)/Datos!W23," - ")</f>
        <v>-0.16976127320954906</v>
      </c>
      <c r="I23" s="402">
        <f>IF(ISNUMBER((Tasas!C23-Datos!BE23)/Datos!BE23),(Tasas!C23-Datos!BE23)/Datos!BE23," - ")</f>
        <v>-3.8287665119600203E-2</v>
      </c>
      <c r="J23" s="400">
        <f>IF(ISNUMBER((Tasas!D23-Datos!BF23)/Datos!BF23),(Tasas!D23-Datos!BF23)/Datos!BF23," - ")</f>
        <v>-0.16501874567343786</v>
      </c>
      <c r="K23" s="403">
        <f>IF(ISNUMBER((Tasas!E23-Datos!BG23)/Datos!BG23),(Tasas!E23-Datos!BG23)/Datos!BG23," - ")</f>
        <v>1.5021702340490229E-2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-6.6344993968636915E-3</v>
      </c>
      <c r="E31" s="409">
        <f>IF(ISNUMBER(
   IF(J_V="SI",(Datos!J31-Datos!T31)/Datos!T31,(Datos!J31+Datos!Z31-(Datos!T31+Datos!AH31))/(Datos!T31+Datos!AH31))
     ),IF(J_V="SI",(Datos!J31-Datos!T31)/Datos!T31,(Datos!J31+Datos!Z31-(Datos!T31+Datos!AH31))/(Datos!T31+Datos!AH31))," - ")</f>
        <v>9.2402464065708418E-3</v>
      </c>
      <c r="F31" s="409">
        <f>IF(ISNUMBER(
   IF(J_V="SI",(Datos!K31-Datos!U31)/Datos!U31,(Datos!K31+Datos!AA31-(Datos!U31+Datos!AI31))/(Datos!U31+Datos!AI31))
     ),IF(J_V="SI",(Datos!K31-Datos!U31)/Datos!U31,(Datos!K31+Datos!AA31-(Datos!U31+Datos!AI31))/(Datos!U31+Datos!AI31))," - ")</f>
        <v>-6.0233558696988321E-2</v>
      </c>
      <c r="G31" s="410">
        <f>IF(ISNUMBER(
   IF(J_V="SI",(Datos!L31-Datos!V31)/Datos!V31,(Datos!L31+Datos!AB31-(Datos!V31+Datos!AJ31))/(Datos!V31+Datos!AJ31))
     ),IF(J_V="SI",(Datos!L31-Datos!V31)/Datos!V31,(Datos!L31+Datos!AB31-(Datos!V31+Datos!AJ31))/(Datos!V31+Datos!AJ31))," - ")</f>
        <v>0.36369156041287187</v>
      </c>
      <c r="H31" s="411">
        <f>IF(ISNUMBER((Datos!M31-Datos!W31)/Datos!W31),(Datos!M31-Datos!W31)/Datos!W31," - ")</f>
        <v>-0.14993954050785974</v>
      </c>
      <c r="I31" s="408">
        <f>IF(ISNUMBER((Tasas!C31-Datos!BE31)/Datos!BE31),(Tasas!C31-Datos!BE31)/Datos!BE31," - ")</f>
        <v>0.45109625166235606</v>
      </c>
      <c r="J31" s="409">
        <f>IF(ISNUMBER((Tasas!D31-Datos!BF31)/Datos!BF31),(Tasas!D31-Datos!BF31)/Datos!BF31," - ")</f>
        <v>-0.38532604110183133</v>
      </c>
      <c r="K31" s="410">
        <f>IF(ISNUMBER((Tasas!E31-Datos!BG31)/Datos!BG31),(Tasas!E31-Datos!BG31)/Datos!BG31," - ")</f>
        <v>6.9636336385437161E-2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0.46107066238056965</v>
      </c>
      <c r="E33" s="303">
        <f t="shared" si="1"/>
        <v>5.950325298382745E-2</v>
      </c>
      <c r="F33" s="303">
        <f t="shared" si="1"/>
        <v>0.38665477609281984</v>
      </c>
      <c r="G33" s="304">
        <f t="shared" si="1"/>
        <v>1.5182913451903022</v>
      </c>
      <c r="H33" s="310">
        <f t="shared" si="1"/>
        <v>6.6589408582466994E-2</v>
      </c>
      <c r="I33" s="302">
        <f t="shared" si="1"/>
        <v>1.2135470019418877</v>
      </c>
      <c r="J33" s="303">
        <f t="shared" si="1"/>
        <v>0.15497006713209627</v>
      </c>
      <c r="K33" s="304">
        <f t="shared" si="1"/>
        <v>1.3968538974295526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uRpqQ/kiW+t6AQ0Vtb4CW2pf5rVwUlS9cAU7x58/xWY5Ri+PT6+P9U1oh3kq5bK+dcE8raSWmuvnsuhiIZdA==" saltValue="xV1sPQ0G62AZ5F8kY3Ad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